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5.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6.xml" ContentType="application/vnd.openxmlformats-officedocument.spreadsheetml.worksheet+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First" sheetId="16" state="visible" r:id="rId19"/>
    <sheet name="Instructions" sheetId="1" state="visible" r:id="rId3"/>
    <sheet name="Assumptions" sheetId="2" state="visible" r:id="rId4"/>
    <sheet name="Revenue" sheetId="3" state="visible" r:id="rId5"/>
    <sheet name="Operating Costs" sheetId="4" state="visible" r:id="rId6"/>
    <sheet name="Compliance" sheetId="5" state="visible" r:id="rId7"/>
    <sheet name="Driver Pay" sheetId="6" state="visible" r:id="rId8"/>
    <sheet name="P&amp;L" sheetId="7" state="visible" r:id="rId9"/>
    <sheet name="Cash Flow" sheetId="8" state="visible" r:id="rId10"/>
    <sheet name="Cost per Mile" sheetId="9" state="visible" r:id="rId11"/>
    <sheet name="Break-Even" sheetId="10" state="visible" r:id="rId12"/>
    <sheet name="Loan" sheetId="11" state="visible" r:id="rId13"/>
    <sheet name="Startup &amp; Funding" sheetId="12" state="visible" r:id="rId14"/>
    <sheet name="Key Ratios" sheetId="13" state="visible" r:id="rId15"/>
    <sheet name="Checks" sheetId="14" state="visible" r:id="rId16"/>
    <sheet name="Sources &amp; Notes" sheetId="15" state="visible" r:id="rId17"/>
  </sheets>
  <definedNames>
    <definedName function="false" hidden="false" localSheetId="8" name="_xlnm.Print_Titles" vbProcedure="false">'Cash Flow'!$A:$B</definedName>
    <definedName function="false" hidden="false" localSheetId="6" name="_xlnm.Print_Titles" vbProcedure="false">'Driver Pay'!$A:$B</definedName>
    <definedName function="false" hidden="false" localSheetId="11" name="_xlnm.Print_Titles" vbProcedure="false">Loan!$14:$14</definedName>
    <definedName function="false" hidden="false" localSheetId="4" name="_xlnm.Print_Titles" vbProcedure="false">'Operating Costs'!$A:$B</definedName>
    <definedName function="false" hidden="false" localSheetId="7" name="_xlnm.Print_Titles" vbProcedure="false">'P&amp;L'!$A:$B</definedName>
    <definedName function="false" hidden="false" localSheetId="3" name="_xlnm.Print_Titles" vbProcedure="false">Revenue!$A:$B</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<sst xmlns="http://schemas.openxmlformats.org/spreadsheetml/2006/main" count="1051" uniqueCount="758">
  <si>
    <t xml:space="preserve">Trucking Financial Model — owner-operator, 36 months</t>
  </si>
  <si>
    <t xml:space="preserve">From Let's Talk Business Plans (letstalkbusinessplans.com). Free to use for your own trucking business plan.</t>
  </si>
  <si>
    <t xml:space="preserve">Worked example</t>
  </si>
  <si>
    <t xml:space="preserve">The numbers already in this file are example inputs for a hypothetical one-truck dry-van carrier under its own authority, with the owner driving. They are not industry averages and not a real business. Every input is labelled 'Example — replace with your numbers' unless it comes from an official source named on Sources &amp; Notes.</t>
  </si>
  <si>
    <t xml:space="preserve">Important</t>
  </si>
  <si>
    <t xml:space="preserve">Not tax, legal or lending advice. Fees and rules change: check the linked official page on Sources &amp; Notes before you rely on a number. Built for Microsoft Excel (.xlsx); uses only standard functions; not yet tested in Google Sheets or other spreadsheet apps.</t>
  </si>
  <si>
    <t xml:space="preserve">How to use it</t>
  </si>
  <si>
    <t xml:space="preserve">Step 1</t>
  </si>
  <si>
    <t xml:space="preserve">Open Assumptions. Change only the yellow cells with blue text, top to bottom.</t>
  </si>
  <si>
    <t xml:space="preserve">Step 2</t>
  </si>
  <si>
    <t xml:space="preserve">Section 2: enter your truck's and trailer's weight ratings. They decide which federal rules apply (Compliance tab).</t>
  </si>
  <si>
    <t xml:space="preserve">Step 3</t>
  </si>
  <si>
    <t xml:space="preserve">Sections 3-6: your miles per day, deadhead, rate per loaded mile, fuel, per-mile costs, insurance quotes and fixed costs.</t>
  </si>
  <si>
    <t xml:space="preserve">Step 4</t>
  </si>
  <si>
    <t xml:space="preserve">Section 7: check each compliance line. 'auto' follows the federal rule; type Y or N to override. Get IRP and IFTA figures from your base state.</t>
  </si>
  <si>
    <t xml:space="preserve">Step 5</t>
  </si>
  <si>
    <t xml:space="preserve">Sections 8-10: truck and trailer price, loans, owner draw, startup costs and your cash. Startup &amp; Funding must say FUNDED.</t>
  </si>
  <si>
    <t xml:space="preserve">Step 6</t>
  </si>
  <si>
    <t xml:space="preserve">Read Cost per Mile and Break-Even: the rate per loaded mile you need, on a profit basis and a cash basis.</t>
  </si>
  <si>
    <t xml:space="preserve">Step 7</t>
  </si>
  <si>
    <t xml:space="preserve">Read Cash Flow and Key Ratios: the lowest month-end cash, DSCR, and months flagged SHORT or LOW. Checks should all say OK.</t>
  </si>
  <si>
    <t xml:space="preserve">Step 8</t>
  </si>
  <si>
    <t xml:space="preserve">Test what-ifs: lower the rate, raise diesel, raise deadhead. Paste the results into your business plan.</t>
  </si>
  <si>
    <t xml:space="preserve">Colour key</t>
  </si>
  <si>
    <t xml:space="preserve">1,000</t>
  </si>
  <si>
    <t xml:space="preserve">Input — yours to change (Assumptions tab only)</t>
  </si>
  <si>
    <t xml:space="preserve">Formula — calculated, do not type over</t>
  </si>
  <si>
    <t xml:space="preserve">Formula that links to another tab</t>
  </si>
  <si>
    <t xml:space="preserve">Tabs</t>
  </si>
  <si>
    <t xml:space="preserve">Assumptions</t>
  </si>
  <si>
    <t xml:space="preserve">Every input: rig weights, miles, rate, fuel, costs, compliance, truck and trailer loans, owner draw, startup costs.</t>
  </si>
  <si>
    <t xml:space="preserve">Revenue</t>
  </si>
  <si>
    <t xml:space="preserve">36 months of total, empty and loaded miles; rate per loaded mile; revenue.</t>
  </si>
  <si>
    <t xml:space="preserve">Operating Costs</t>
  </si>
  <si>
    <t xml:space="preserve">Fuel, per-mile costs, insurance, compliance, fixed costs, fees; when each is actually paid.</t>
  </si>
  <si>
    <t xml:space="preserve">Compliance</t>
  </si>
  <si>
    <t xml:space="preserve">Which federal rules apply to your rig (USDOT, authority, BOC-3, insurance minimum, UCR, IRP, IFTA, Form 2290, drug and alcohol, CDL, medical card, ELD) and their cost.</t>
  </si>
  <si>
    <t xml:space="preserve">Driver Pay</t>
  </si>
  <si>
    <t xml:space="preserve">Hired driver pay and payroll costs; owner draw.</t>
  </si>
  <si>
    <t xml:space="preserve">P&amp;L</t>
  </si>
  <si>
    <t xml:space="preserve">Monthly and annual profit and loss, operating ratio.</t>
  </si>
  <si>
    <t xml:space="preserve">Cash Flow</t>
  </si>
  <si>
    <t xml:space="preserve">Monthly cash from day one, with SHORT / LOW warnings.</t>
  </si>
  <si>
    <t xml:space="preserve">Cost per Mile</t>
  </si>
  <si>
    <t xml:space="preserve">Each cost per total mile and per loaded mile, Years 1-3.</t>
  </si>
  <si>
    <t xml:space="preserve">Break-Even</t>
  </si>
  <si>
    <t xml:space="preserve">Break-even rate per loaded mile (profit and cash basis), break-even loaded miles per month, margin of safety.</t>
  </si>
  <si>
    <t xml:space="preserve">Loan</t>
  </si>
  <si>
    <t xml:space="preserve">Truck and trailer loan schedules (PMT), debt service by year.</t>
  </si>
  <si>
    <t xml:space="preserve">Startup &amp; Funding</t>
  </si>
  <si>
    <t xml:space="preserve">Sources and uses; funding gap; cash on day one.</t>
  </si>
  <si>
    <t xml:space="preserve">Key Ratios</t>
  </si>
  <si>
    <t xml:space="preserve">Revenue and cost per mile, operating ratio, DSCR, lowest cash.</t>
  </si>
  <si>
    <t xml:space="preserve">Checks</t>
  </si>
  <si>
    <t xml:space="preserve">Automatic consistency checks; all should say OK.</t>
  </si>
  <si>
    <t xml:space="preserve">Sources &amp; Notes</t>
  </si>
  <si>
    <t xml:space="preserve">Official sources for every non-example value, where to check your own numbers, and known limitations.</t>
  </si>
  <si>
    <t xml:space="preserve">Example results (live)</t>
  </si>
  <si>
    <t xml:space="preserve">Year 1 revenue</t>
  </si>
  <si>
    <t xml:space="preserve">Year 1 cost per total mile</t>
  </si>
  <si>
    <t xml:space="preserve">Break-even rate, profit basis</t>
  </si>
  <si>
    <t xml:space="preserve">Break-even rate, cash basis</t>
  </si>
  <si>
    <t xml:space="preserve">Planned rate per loaded mile</t>
  </si>
  <si>
    <t xml:space="preserve">Year 1 DSCR after owner draw</t>
  </si>
  <si>
    <t xml:space="preserve">Lowest month-end cash, Year 1</t>
  </si>
  <si>
    <t xml:space="preserve">Assumptions — the only tab you need to edit</t>
  </si>
  <si>
    <t xml:space="preserve">Yellow cells with blue text are inputs. Every other tab is calculated from them. The values shown are example inputs for a hypothetical one-truck dry-van carrier: not a real business and not industry averages.</t>
  </si>
  <si>
    <t xml:space="preserve">Input</t>
  </si>
  <si>
    <t xml:space="preserve">means an input cell</t>
  </si>
  <si>
    <t xml:space="preserve">1. General</t>
  </si>
  <si>
    <t xml:space="preserve">Value</t>
  </si>
  <si>
    <t xml:space="preserve">Unit</t>
  </si>
  <si>
    <t xml:space="preserve">Note / source</t>
  </si>
  <si>
    <t xml:space="preserve">What this example is</t>
  </si>
  <si>
    <t xml:space="preserve">Example inputs (hypothetical one-truck dry-van carrier, own authority, owner driving)</t>
  </si>
  <si>
    <t xml:space="preserve">Example — replace with your numbers. Type your company name here if you like; nothing else uses this cell.</t>
  </si>
  <si>
    <t xml:space="preserve">First month of operations</t>
  </si>
  <si>
    <t xml:space="preserve">date</t>
  </si>
  <si>
    <t xml:space="preserve">Enter the 1st of the month. Example — replace with your numbers</t>
  </si>
  <si>
    <t xml:space="preserve">Operating model: 1 = own authority, 2 = leased onto a carrier</t>
  </si>
  <si>
    <t xml:space="preserve">1 or 2</t>
  </si>
  <si>
    <t xml:space="preserve">Example — replace with your numbers. Leased on: the authority, BOC-3 and UCR lines and the primary liability/cargo premium switch off, and the carrier's share below is taken from revenue. Check your lease for who pays what.</t>
  </si>
  <si>
    <t xml:space="preserve">Carrier's share of revenue (leased on only)</t>
  </si>
  <si>
    <t xml:space="preserve">%</t>
  </si>
  <si>
    <t xml:space="preserve">Example — replace with your numbers. Ignored under own authority. Use the split in your lease agreement.</t>
  </si>
  <si>
    <t xml:space="preserve">Do you haul across state lines? 1 = yes (interstate), 0 = no (intrastate only)</t>
  </si>
  <si>
    <t xml:space="preserve">1 or 0</t>
  </si>
  <si>
    <t xml:space="preserve">Example — replace with your numbers. The automatic 'applies?' answers on the Compliance tab use the federal interstate rules. Intrastate carriers: your state's rules decide; set the overrides in section 7.</t>
  </si>
  <si>
    <t xml:space="preserve">2. Rig and weight ratings (these decide which federal rules apply)</t>
  </si>
  <si>
    <t xml:space="preserve">Rig description</t>
  </si>
  <si>
    <t xml:space="preserve">Class 8 tractor + 53 ft dry-van trailer</t>
  </si>
  <si>
    <t xml:space="preserve">Example — replace with your numbers</t>
  </si>
  <si>
    <t xml:space="preserve">Truck (power unit) gross vehicle weight rating, GVWR</t>
  </si>
  <si>
    <t xml:space="preserve">lb</t>
  </si>
  <si>
    <t xml:space="preserve">Example — replace with your numbers. From the label on the door frame or the dealer spec sheet.</t>
  </si>
  <si>
    <t xml:space="preserve">Trailer GVWR</t>
  </si>
  <si>
    <t xml:space="preserve">Example — replace with your numbers. From the trailer's VIN plate or spec sheet.</t>
  </si>
  <si>
    <t xml:space="preserve">GCWR: the combined rating on the truck label (not truck GVWR + trailer GVWR added)</t>
  </si>
  <si>
    <t xml:space="preserve">Taxable gross weight for Form 2290</t>
  </si>
  <si>
    <t xml:space="preserve">Example — replace with your numbers. IRS definition: unloaded truck + unloaded trailers customarily used with it + the maximum load customarily carried (Instructions for Form 2290, Rev. July 2026).</t>
  </si>
  <si>
    <t xml:space="preserve">3. Miles and revenue</t>
  </si>
  <si>
    <t xml:space="preserve">Driving days per month</t>
  </si>
  <si>
    <t xml:space="preserve">days</t>
  </si>
  <si>
    <t xml:space="preserve">Average miles per driving day (loaded + empty)</t>
  </si>
  <si>
    <t xml:space="preserve">miles</t>
  </si>
  <si>
    <t xml:space="preserve">Example — replace with your numbers. Keep it legal: see the hours-of-service check in section 12 (49 CFR 395.3: 11 hours' driving a day).</t>
  </si>
  <si>
    <t xml:space="preserve">Average driving speed, for the hours-of-service check</t>
  </si>
  <si>
    <t xml:space="preserve">mph</t>
  </si>
  <si>
    <t xml:space="preserve">Deadhead: empty miles as % of all miles</t>
  </si>
  <si>
    <t xml:space="preserve">Example — replace with your numbers. Must be below 95%.</t>
  </si>
  <si>
    <t xml:space="preserve">Rate per loaded mile (linehaul), Year 1</t>
  </si>
  <si>
    <t xml:space="preserve">$/mile</t>
  </si>
  <si>
    <t xml:space="preserve">Example — replace with your numbers. Not a market rate: use the rates you have been offered or quoted for your lanes.</t>
  </si>
  <si>
    <t xml:space="preserve">Fuel surcharge per loaded mile (only if paid on top of the rate)</t>
  </si>
  <si>
    <t xml:space="preserve">Example — replace with your numbers. Leave 0 if your rate is all-in.</t>
  </si>
  <si>
    <t xml:space="preserve">Rate change, Year 2 vs Year 1</t>
  </si>
  <si>
    <t xml:space="preserve">Rate change, Year 3 vs Year 2</t>
  </si>
  <si>
    <t xml:space="preserve">Ramp-up: month 1, % of full monthly miles</t>
  </si>
  <si>
    <t xml:space="preserve">Example — replace with your numbers. Months 4 onward run at 100%.</t>
  </si>
  <si>
    <t xml:space="preserve">Ramp-up: month 2, % of full monthly miles</t>
  </si>
  <si>
    <t xml:space="preserve">Ramp-up: month 3, % of full monthly miles</t>
  </si>
  <si>
    <t xml:space="preserve">Months until customers pay you: 0 = same month, 1 = following month</t>
  </si>
  <si>
    <t xml:space="preserve">0 or 1</t>
  </si>
  <si>
    <t xml:space="preserve">Example — replace with your numbers. Ignored when factoring is on (factored invoices are treated as paid in the month hauled).</t>
  </si>
  <si>
    <t xml:space="preserve">Factoring: 1 = on, 0 = off</t>
  </si>
  <si>
    <t xml:space="preserve">Factoring fee, % of revenue factored</t>
  </si>
  <si>
    <t xml:space="preserve">Example — replace with your numbers. Use the quote from your factoring company.</t>
  </si>
  <si>
    <t xml:space="preserve">Dispatch service fee, % of revenue (0 if you book your own loads)</t>
  </si>
  <si>
    <t xml:space="preserve">4. Fuel</t>
  </si>
  <si>
    <t xml:space="preserve">Fuel economy</t>
  </si>
  <si>
    <t xml:space="preserve">mpg</t>
  </si>
  <si>
    <t xml:space="preserve">Example — replace with your numbers. Use your truck's own record or the dealer's figure.</t>
  </si>
  <si>
    <t xml:space="preserve">Diesel price per gallon, Year 1</t>
  </si>
  <si>
    <t xml:space="preserve">$/gal</t>
  </si>
  <si>
    <t xml:space="preserve">Example — replace with your numbers: use the price you pay at the pump. EIA publishes a weekly U.S. average retail on-highway diesel price (see Sources &amp; Notes); this example is not taken from it.</t>
  </si>
  <si>
    <t xml:space="preserve">Diesel price change per year</t>
  </si>
  <si>
    <t xml:space="preserve">5. Other costs per mile (applied to all miles, loaded + empty)</t>
  </si>
  <si>
    <t xml:space="preserve">Repairs and maintenance</t>
  </si>
  <si>
    <t xml:space="preserve">Example — replace with your numbers. Not an industry average.</t>
  </si>
  <si>
    <t xml:space="preserve">Tires</t>
  </si>
  <si>
    <t xml:space="preserve">Tolls</t>
  </si>
  <si>
    <t xml:space="preserve">State weight-distance / highway-use taxes</t>
  </si>
  <si>
    <t xml:space="preserve">Example — replace with your numbers. A few states charge their own per-mile tax on heavy trucks; check each state you run in and add it here.</t>
  </si>
  <si>
    <t xml:space="preserve">Other per-mile costs (e.g. IFTA true-up, scales, washouts)</t>
  </si>
  <si>
    <t xml:space="preserve">Example — replace with your numbers. The diesel price above is the pump price; if your quarterly IFTA return will cost extra, add it here.</t>
  </si>
  <si>
    <t xml:space="preserve">Cost increase per year (per-mile and fixed costs, not diesel)</t>
  </si>
  <si>
    <t xml:space="preserve">6. Insurance and fixed monthly costs</t>
  </si>
  <si>
    <t xml:space="preserve">Primary liability + cargo insurance, annual premium</t>
  </si>
  <si>
    <t xml:space="preserve">$/year</t>
  </si>
  <si>
    <t xml:space="preserve">Example — replace with your numbers. Get quotes. The federal minimum liability limit for your weights is on the Compliance tab. Switched off when leased on; check your lease for who pays it.</t>
  </si>
  <si>
    <t xml:space="preserve">Physical damage, bobtail and other insurance, annual premium</t>
  </si>
  <si>
    <t xml:space="preserve">Example — replace with your numbers. Get quotes.</t>
  </si>
  <si>
    <t xml:space="preserve">Insurance down payment paid before you start, % of the first-year premium</t>
  </si>
  <si>
    <t xml:space="preserve">Example — replace with your numbers. The rest of the first-year premium is paid in 12 monthly installments.</t>
  </si>
  <si>
    <t xml:space="preserve">ELD subscription</t>
  </si>
  <si>
    <t xml:space="preserve">$/month</t>
  </si>
  <si>
    <t xml:space="preserve">Example — replace with your numbers. Use your provider's price.</t>
  </si>
  <si>
    <t xml:space="preserve">Phone, load boards, accounting, software</t>
  </si>
  <si>
    <t xml:space="preserve">Truck parking / yard</t>
  </si>
  <si>
    <t xml:space="preserve">Other fixed costs</t>
  </si>
  <si>
    <t xml:space="preserve">7. Compliance: does it apply to you, and what does it cost?</t>
  </si>
  <si>
    <t xml:space="preserve">'auto' uses the federal rule on the Compliance tab with your weights and switches above. Type Y or N to override it. The Compliance tab shows the rule and the source for each line.</t>
  </si>
  <si>
    <t xml:space="preserve">USDOT number: applies?</t>
  </si>
  <si>
    <t xml:space="preserve">auto</t>
  </si>
  <si>
    <t xml:space="preserve">auto/Y/N</t>
  </si>
  <si>
    <t xml:space="preserve">auto = interstate and a vehicle of 10,001 lb or more (49 CFR 390.5T, 390.19T)</t>
  </si>
  <si>
    <t xml:space="preserve">USDOT number: fee</t>
  </si>
  <si>
    <t xml:space="preserve">$ one-time</t>
  </si>
  <si>
    <t xml:space="preserve">From 49 CFR 360.3T: the fee schedule lists no fee for the USDOT number. Fees change: check the official page listed on Sources &amp; Notes before you rely on it.</t>
  </si>
  <si>
    <t xml:space="preserve">Operating authority: applies?</t>
  </si>
  <si>
    <t xml:space="preserve">auto = own authority and interstate</t>
  </si>
  <si>
    <t xml:space="preserve">Operating authority: application fee (per type of authority)</t>
  </si>
  <si>
    <t xml:space="preserve">From 49 CFR 360.3T: $300 per type of authority, not refunded. Fees change: check the official page listed on Sources &amp; Notes before you rely on it.</t>
  </si>
  <si>
    <t xml:space="preserve">BOC-3 process agent: applies?</t>
  </si>
  <si>
    <t xml:space="preserve">auto = own authority and interstate (49 CFR 366)</t>
  </si>
  <si>
    <t xml:space="preserve">BOC-3 process agent service</t>
  </si>
  <si>
    <t xml:space="preserve">Example — replace with your numbers. The agent sets the price; get a quote.</t>
  </si>
  <si>
    <t xml:space="preserve">UCR registration: applies?</t>
  </si>
  <si>
    <t xml:space="preserve">auto = own authority and interstate. Check ucr.gov for who must register.</t>
  </si>
  <si>
    <t xml:space="preserve">UCR fee, 0-2 vehicles</t>
  </si>
  <si>
    <t xml:space="preserve">From 49 CFR 367.50: $55 for registration year 2027 and later, 0-2 vehicles (367.40: $46 for 2025-2026). Use the fee for your registration year and fleet size. Fees change: check the official page listed on Sources &amp; Notes before you rely on it.</t>
  </si>
  <si>
    <t xml:space="preserve">IRP apportioned plates: applies? (Y/N)</t>
  </si>
  <si>
    <t xml:space="preserve">Y</t>
  </si>
  <si>
    <t xml:space="preserve">Y/N</t>
  </si>
  <si>
    <t xml:space="preserve">Example — replace with your numbers. Your base state decides whether your truck must be apportioned; ask it before you choose.</t>
  </si>
  <si>
    <t xml:space="preserve">IRP apportioned registration</t>
  </si>
  <si>
    <t xml:space="preserve">Example — replace with your numbers. The fee is calculated by your base state from your miles by state and weight. Get your state's figure.</t>
  </si>
  <si>
    <t xml:space="preserve">IFTA license and decals: applies? (Y/N)</t>
  </si>
  <si>
    <t xml:space="preserve">Example — replace with your numbers. Ask your base state.</t>
  </si>
  <si>
    <t xml:space="preserve">IFTA license and decals</t>
  </si>
  <si>
    <t xml:space="preserve">Example — replace with your numbers. Set by your base state.</t>
  </si>
  <si>
    <t xml:space="preserve">Form 2290 heavy vehicle use tax: applies?</t>
  </si>
  <si>
    <t xml:space="preserve">auto = taxable gross weight of 55,000 lb or more (IRS). The amount comes from the IRS table in section 11.</t>
  </si>
  <si>
    <t xml:space="preserve">Drug and alcohol testing program: applies?</t>
  </si>
  <si>
    <t xml:space="preserve">auto = a CDL is needed for this rig (49 CFR 382.103 applies part 382 to CDL drivers)</t>
  </si>
  <si>
    <t xml:space="preserve">Drug and alcohol program: enrollment and pre-employment test</t>
  </si>
  <si>
    <t xml:space="preserve">Example — replace with your numbers. Get a quote from a testing consortium.</t>
  </si>
  <si>
    <t xml:space="preserve">Drug and alcohol program: random pool and Clearinghouse queries</t>
  </si>
  <si>
    <t xml:space="preserve">Example — replace with your numbers. A one-driver carrier must be in a random pool of two or more (49 CFR 382.103(b)). Get a quote.</t>
  </si>
  <si>
    <t xml:space="preserve">Medical examiner's certificate: applies?</t>
  </si>
  <si>
    <t xml:space="preserve">auto = interstate CMV (49 CFR 391.41)</t>
  </si>
  <si>
    <t xml:space="preserve">Medical examination</t>
  </si>
  <si>
    <t xml:space="preserve">Example — replace with your numbers. Price set by the examiner.</t>
  </si>
  <si>
    <t xml:space="preserve">ELD: applies?</t>
  </si>
  <si>
    <t xml:space="preserve">auto = interstate CMV (49 CFR 395.8). Exceptions exist (for example 8 days or fewer in 30, vehicles made before model year 2000). N switches off the ELD subscription and hardware.</t>
  </si>
  <si>
    <t xml:space="preserve">Annual fees and taxes in the cash flow: 1 = paid in a lump at opening and every 12 months, 0 = spread monthly</t>
  </si>
  <si>
    <t xml:space="preserve">Example — replace with your numbers. Real due dates differ: UCR runs by registration year, Form 2290 runs July 1 to June 30, IRP and IFTA follow your base state.</t>
  </si>
  <si>
    <t xml:space="preserve">8. Truck, trailer and financing</t>
  </si>
  <si>
    <t xml:space="preserve">Truck price</t>
  </si>
  <si>
    <t xml:space="preserve">$</t>
  </si>
  <si>
    <t xml:space="preserve">Example — replace with your numbers. Get dealer quotes; no national price is used.</t>
  </si>
  <si>
    <t xml:space="preserve">Trailer price</t>
  </si>
  <si>
    <t xml:space="preserve">Example — replace with your numbers. Enter 0 if you will pull the carrier's or shipper's trailers.</t>
  </si>
  <si>
    <t xml:space="preserve">Truck down payment, % of price</t>
  </si>
  <si>
    <t xml:space="preserve">Example — replace with your numbers. Ask your lender what it requires.</t>
  </si>
  <si>
    <t xml:space="preserve">Trailer down payment, % of price</t>
  </si>
  <si>
    <t xml:space="preserve">Truck loan interest rate (annual, fixed)</t>
  </si>
  <si>
    <t xml:space="preserve">Example — replace with your numbers. Use your lender's quote.</t>
  </si>
  <si>
    <t xml:space="preserve">Truck loan term</t>
  </si>
  <si>
    <t xml:space="preserve">years</t>
  </si>
  <si>
    <t xml:space="preserve">Example — replace with your numbers. 1-10 years. Payments start in the first month of operations.</t>
  </si>
  <si>
    <t xml:space="preserve">Trailer loan interest rate (annual, fixed)</t>
  </si>
  <si>
    <t xml:space="preserve">Trailer loan term</t>
  </si>
  <si>
    <t xml:space="preserve">Example — replace with your numbers. 1-10 years.</t>
  </si>
  <si>
    <t xml:space="preserve">Depreciation life: truck</t>
  </si>
  <si>
    <t xml:space="preserve">Example — replace with your numbers. Straight-line, for planning only. Tax depreciation differs (IRS Publication 946); ask your tax adviser.</t>
  </si>
  <si>
    <t xml:space="preserve">Depreciation life: trailer</t>
  </si>
  <si>
    <t xml:space="preserve">Example — replace with your numbers. Same note.</t>
  </si>
  <si>
    <t xml:space="preserve">Value left at the end of the depreciation life, % of price</t>
  </si>
  <si>
    <t xml:space="preserve">9. Driver pay, owner draw and tax</t>
  </si>
  <si>
    <t xml:space="preserve">Who drives: 0 = you (owner draw only), 1 = a hired driver</t>
  </si>
  <si>
    <t xml:space="preserve">Hired driver pay per mile (all miles)</t>
  </si>
  <si>
    <t xml:space="preserve">Example — replace with your numbers. Used only when a hired driver is selected.</t>
  </si>
  <si>
    <t xml:space="preserve">Employer Social Security + Medicare (FICA) on hired driver pay</t>
  </si>
  <si>
    <t xml:space="preserve">From IRS Topic no. 751: 6.2% Social Security + 1.45% Medicare for the employer. Fees change: check the official page listed on Sources &amp; Notes before you rely on it.</t>
  </si>
  <si>
    <t xml:space="preserve">Other payroll costs on hired driver pay (unemployment tax, workers' comp)</t>
  </si>
  <si>
    <t xml:space="preserve">Owner draw (what you take home each month)</t>
  </si>
  <si>
    <t xml:space="preserve">Example — replace with your numbers. Your personal income tax and self-employment tax are paid out of this; the IRS self-employment tax rate is 15.3% (see Sources &amp; Notes). Ask your tax adviser.</t>
  </si>
  <si>
    <t xml:space="preserve">Business income tax rate on profit (0% if taxed personally as a pass-through)</t>
  </si>
  <si>
    <t xml:space="preserve">Example — replace with your numbers. Applied to positive monthly pre-tax profit only. Not tax advice.</t>
  </si>
  <si>
    <t xml:space="preserve">10. Startup costs and funding</t>
  </si>
  <si>
    <t xml:space="preserve">ELD hardware and setup</t>
  </si>
  <si>
    <t xml:space="preserve">Other startup costs (tools, straps, chains, office setup)</t>
  </si>
  <si>
    <t xml:space="preserve">Working-capital reserve (cash on hand on day one)</t>
  </si>
  <si>
    <t xml:space="preserve">Example — replace with your numbers. It must also cover the first year's annual fees, paid in month 1, and the wait for your first payments.</t>
  </si>
  <si>
    <t xml:space="preserve">Low-cash warning: % of the working-capital reserve</t>
  </si>
  <si>
    <t xml:space="preserve">Example — replace with your numbers. Cash Flow flags a month LOW when ending cash falls below this share of the reserve.</t>
  </si>
  <si>
    <t xml:space="preserve">Owner cash put into the business</t>
  </si>
  <si>
    <t xml:space="preserve">Example — replace with your numbers. Startup &amp; Funding shows whether it covers the gap.</t>
  </si>
  <si>
    <t xml:space="preserve">11. IRS Form 2290 tax table (vehicles except logging), from the IRS</t>
  </si>
  <si>
    <t xml:space="preserve">Copied from Form 2290 (Rev. July 2026), Tax Computation table, tax period July 1, 2026 to June 30, 2027. Lowest weight of each category in column D. Update it if the IRS changes the table.</t>
  </si>
  <si>
    <t xml:space="preserve">Category A: 55,000 lb</t>
  </si>
  <si>
    <t xml:space="preserve">IRS Form 2290 (Rev. July 2026)</t>
  </si>
  <si>
    <t xml:space="preserve">Category B: 55,001 – 56,000 lb</t>
  </si>
  <si>
    <t xml:space="preserve">Category C: 56,001 – 57,000 lb</t>
  </si>
  <si>
    <t xml:space="preserve">Category D: 57,001 – 58,000 lb</t>
  </si>
  <si>
    <t xml:space="preserve">Category E: 58,001 – 59,000 lb</t>
  </si>
  <si>
    <t xml:space="preserve">Category F: 59,001 – 60,000 lb</t>
  </si>
  <si>
    <t xml:space="preserve">Category G: 60,001 – 61,000 lb</t>
  </si>
  <si>
    <t xml:space="preserve">Category H: 61,001 – 62,000 lb</t>
  </si>
  <si>
    <t xml:space="preserve">Category I: 62,001 – 63,000 lb</t>
  </si>
  <si>
    <t xml:space="preserve">Category J: 63,001 – 64,000 lb</t>
  </si>
  <si>
    <t xml:space="preserve">Category K: 64,001 – 65,000 lb</t>
  </si>
  <si>
    <t xml:space="preserve">Category L: 65,001 – 66,000 lb</t>
  </si>
  <si>
    <t xml:space="preserve">Category M: 66,001 – 67,000 lb</t>
  </si>
  <si>
    <t xml:space="preserve">Category N: 67,001 – 68,000 lb</t>
  </si>
  <si>
    <t xml:space="preserve">Category O: 68,001 – 69,000 lb</t>
  </si>
  <si>
    <t xml:space="preserve">Category P: 69,001 – 70,000 lb</t>
  </si>
  <si>
    <t xml:space="preserve">Category Q: 70,001 – 71,000 lb</t>
  </si>
  <si>
    <t xml:space="preserve">Category R: 71,001 – 72,000 lb</t>
  </si>
  <si>
    <t xml:space="preserve">Category S: 72,001 – 73,000 lb</t>
  </si>
  <si>
    <t xml:space="preserve">Category T: 73,001 – 74,000 lb</t>
  </si>
  <si>
    <t xml:space="preserve">Category U: 74,001 – 75,000 lb</t>
  </si>
  <si>
    <t xml:space="preserve">Category V: over 75,000 lb</t>
  </si>
  <si>
    <t xml:space="preserve">12. Helper values (calculated — do not edit)</t>
  </si>
  <si>
    <t xml:space="preserve">Own authority? (1 = yes)</t>
  </si>
  <si>
    <t xml:space="preserve">1/0</t>
  </si>
  <si>
    <t xml:space="preserve">From the operating model in section 1</t>
  </si>
  <si>
    <t xml:space="preserve">Share of revenue kept after the carrier's share</t>
  </si>
  <si>
    <t xml:space="preserve">Fees taken as % of revenue (factoring + dispatch)</t>
  </si>
  <si>
    <t xml:space="preserve">Is any vehicle 10,001 lb or more (GVWR or GCWR)?</t>
  </si>
  <si>
    <t xml:space="preserve">49 CFR 390.5T: a commercial motor vehicle in interstate commerce is 10,001 lb or more</t>
  </si>
  <si>
    <t xml:space="preserve">Does this rig need a CDL?</t>
  </si>
  <si>
    <t xml:space="preserve">49 CFR 383.5 / 383.91: combination 26,001 lb+ GCWR with a trailer over 10,000 lb GVWR (Group A), or a single vehicle 26,001 lb+ (Group B)</t>
  </si>
  <si>
    <t xml:space="preserve">Form 2290 tax for a full tax period, this truck</t>
  </si>
  <si>
    <t xml:space="preserve">From the IRS table in section 11. A truck first used after July pays a prorated amount (see the IRS instructions).</t>
  </si>
  <si>
    <t xml:space="preserve">Federal minimum liability limit, for-hire nonhazardous property</t>
  </si>
  <si>
    <t xml:space="preserve">$ limit</t>
  </si>
  <si>
    <t xml:space="preserve">49 CFR 387.9 and 387.303T: $750,000 if any vehicle is 10,001 lb GVWR or more, $300,000 for a fleet of only lighter vehicles. This is a coverage limit, not a premium.</t>
  </si>
  <si>
    <t xml:space="preserve">Total miles per month at full volume</t>
  </si>
  <si>
    <t xml:space="preserve">Driving days × miles per day</t>
  </si>
  <si>
    <t xml:space="preserve">Driving hours per driving day at your average speed</t>
  </si>
  <si>
    <t xml:space="preserve">hours</t>
  </si>
  <si>
    <t xml:space="preserve">Miles per day ÷ average speed</t>
  </si>
  <si>
    <t xml:space="preserve">Hours-of-service check (daily driving)</t>
  </si>
  <si>
    <t xml:space="preserve">49 CFR 395.3: 11 hours' driving after 10 hours off, within a 14-hour window, and 60/70 hours a week. The model checks only the daily driving limit.</t>
  </si>
  <si>
    <t xml:space="preserve">Truck loan amount</t>
  </si>
  <si>
    <t xml:space="preserve">Price × (1 − down payment)</t>
  </si>
  <si>
    <t xml:space="preserve">Trailer loan amount</t>
  </si>
  <si>
    <t xml:space="preserve">Monthly depreciation (truck + trailer)</t>
  </si>
  <si>
    <t xml:space="preserve">Straight-line; the model's 36 months are inside both lives in the example</t>
  </si>
  <si>
    <t xml:space="preserve">Miles and revenue — 36 months, rolled up to 3 years</t>
  </si>
  <si>
    <t xml:space="preserve">Total miles = driving days × miles per day × ramp-up. Loaded miles = total × (1 − deadhead %). Revenue = loaded miles × (rate + fuel surcharge), less the carrier's share if leased on.</t>
  </si>
  <si>
    <t xml:space="preserve">Month #</t>
  </si>
  <si>
    <t xml:space="preserve">Annual</t>
  </si>
  <si>
    <t xml:space="preserve">Year</t>
  </si>
  <si>
    <t xml:space="preserve">Month</t>
  </si>
  <si>
    <t xml:space="preserve">Year 1</t>
  </si>
  <si>
    <t xml:space="preserve">Year 2</t>
  </si>
  <si>
    <t xml:space="preserve">Year 3</t>
  </si>
  <si>
    <t xml:space="preserve">Miles</t>
  </si>
  <si>
    <t xml:space="preserve">Ramp-up factor</t>
  </si>
  <si>
    <t xml:space="preserve">Total miles (loaded + empty)</t>
  </si>
  <si>
    <t xml:space="preserve">Deadhead (empty) miles</t>
  </si>
  <si>
    <t xml:space="preserve">Loaded (paid) miles</t>
  </si>
  <si>
    <t xml:space="preserve">Rate</t>
  </si>
  <si>
    <t xml:space="preserve">Rate factor (yearly changes)</t>
  </si>
  <si>
    <t xml:space="preserve">Rate per loaded mile</t>
  </si>
  <si>
    <t xml:space="preserve">Linehaul revenue</t>
  </si>
  <si>
    <t xml:space="preserve">Fuel surcharge revenue</t>
  </si>
  <si>
    <t xml:space="preserve">Gross revenue</t>
  </si>
  <si>
    <t xml:space="preserve">Less: carrier's share (leased on only)</t>
  </si>
  <si>
    <t xml:space="preserve">REVENUE TO YOU</t>
  </si>
  <si>
    <t xml:space="preserve">Revenue per total mile</t>
  </si>
  <si>
    <t xml:space="preserve">Operating costs — 36 months</t>
  </si>
  <si>
    <t xml:space="preserve">Per-mile costs × all miles; fixed costs monthly; annual fees and insurance expensed evenly. The cash-timing rows show when they are actually paid.</t>
  </si>
  <si>
    <t xml:space="preserve">Cost increase factor</t>
  </si>
  <si>
    <t xml:space="preserve">Diesel price per gallon</t>
  </si>
  <si>
    <t xml:space="preserve">Gallons used</t>
  </si>
  <si>
    <t xml:space="preserve">gal</t>
  </si>
  <si>
    <t xml:space="preserve">Variable costs (per mile)</t>
  </si>
  <si>
    <t xml:space="preserve">Fuel</t>
  </si>
  <si>
    <t xml:space="preserve">State weight-distance taxes</t>
  </si>
  <si>
    <t xml:space="preserve">Other per-mile costs</t>
  </si>
  <si>
    <t xml:space="preserve">Variable costs (before driver pay)</t>
  </si>
  <si>
    <t xml:space="preserve">Fixed costs</t>
  </si>
  <si>
    <t xml:space="preserve">Insurance (expensed evenly)</t>
  </si>
  <si>
    <t xml:space="preserve">Annual compliance fees and taxes (expensed evenly)</t>
  </si>
  <si>
    <t xml:space="preserve">Parking</t>
  </si>
  <si>
    <t xml:space="preserve">Fixed costs (before depreciation and interest)</t>
  </si>
  <si>
    <t xml:space="preserve">Fees taken from revenue</t>
  </si>
  <si>
    <t xml:space="preserve">Factoring fees</t>
  </si>
  <si>
    <t xml:space="preserve">Dispatch fees</t>
  </si>
  <si>
    <t xml:space="preserve">Fees (factoring + dispatch)</t>
  </si>
  <si>
    <t xml:space="preserve">Cash timing (what is actually paid each month)</t>
  </si>
  <si>
    <t xml:space="preserve">Insurance paid in cash</t>
  </si>
  <si>
    <t xml:space="preserve">Annual compliance fees and taxes paid in cash</t>
  </si>
  <si>
    <t xml:space="preserve">Expensed but not yet paid (+) / paid ahead (−)</t>
  </si>
  <si>
    <t xml:space="preserve">Compliance — what applies to this rig, and what it costs</t>
  </si>
  <si>
    <t xml:space="preserve">Federal rules for interstate carriers. States differ for intrastate work. Planning tool only: not legal or tax advice. Fees change: check each linked official page (Sources &amp; Notes) before you rely on a number.</t>
  </si>
  <si>
    <t xml:space="preserve">Item</t>
  </si>
  <si>
    <t xml:space="preserve">Federal rule / who it applies to</t>
  </si>
  <si>
    <t xml:space="preserve">Rule says</t>
  </si>
  <si>
    <t xml:space="preserve">Your override</t>
  </si>
  <si>
    <t xml:space="preserve">Applies?</t>
  </si>
  <si>
    <t xml:space="preserve">One-time cost</t>
  </si>
  <si>
    <t xml:space="preserve">Annual cost</t>
  </si>
  <si>
    <t xml:space="preserve">Source (see Sources &amp; Notes for links)</t>
  </si>
  <si>
    <t xml:space="preserve">USDOT number (Form MCS-150; update every 24 months)</t>
  </si>
  <si>
    <t xml:space="preserve">Interstate carriers operating a vehicle of 10,001 lb or more (GVWR/GCWR or actual weight, whichever is greater).</t>
  </si>
  <si>
    <t xml:space="preserve">49 CFR 390.5T, 390.19T; fee: 49 CFR 360.3T</t>
  </si>
  <si>
    <t xml:space="preserve">Operating authority (for-hire; an MC number today)</t>
  </si>
  <si>
    <t xml:space="preserve">For-hire carriers under their own authority. $300 per type of authority. FMCSA said in April 2026 that its new Motus system would not yet eliminate MC numbers.</t>
  </si>
  <si>
    <t xml:space="preserve">49 CFR 360.3T; 91 FR 23144 (2026-04-29)</t>
  </si>
  <si>
    <t xml:space="preserve">BOC-3 designation of process agents</t>
  </si>
  <si>
    <t xml:space="preserve">Carriers with authority: one form naming an agent for each state you operate in or cross.</t>
  </si>
  <si>
    <t xml:space="preserve">49 CFR 366.2T, 366.4T; price: example</t>
  </si>
  <si>
    <t xml:space="preserve">Insurance filing (proof of financial responsibility)</t>
  </si>
  <si>
    <t xml:space="preserve">Your insurer files proof of coverage with FMCSA; authority is not issued until it is accepted. Federal minimum for your weights (premium is on Assumptions section 6):</t>
  </si>
  <si>
    <t xml:space="preserve">49 CFR 387.7, 387.9, 387.301T, 387.303T</t>
  </si>
  <si>
    <t xml:space="preserve">Unified Carrier Registration (UCR)</t>
  </si>
  <si>
    <t xml:space="preserve">$55 for registration year 2027 and later; $46 for 2025-2026 (0-2 vehicles). Check ucr.gov for who must register.</t>
  </si>
  <si>
    <t xml:space="preserve">49 CFR 367.40, 367.50</t>
  </si>
  <si>
    <t xml:space="preserve">IRP apportioned registration (plates)</t>
  </si>
  <si>
    <t xml:space="preserve">Base-state registration for qualifying interstate vehicles. Ask your base state which vehicles qualify and what it costs.</t>
  </si>
  <si>
    <t xml:space="preserve">—</t>
  </si>
  <si>
    <t xml:space="preserve">49 U.S.C. 31701; fee: example</t>
  </si>
  <si>
    <t xml:space="preserve">IFTA fuel-tax license and decals</t>
  </si>
  <si>
    <t xml:space="preserve">Base-state license for qualifying interstate vehicles; fuel tax is shared among the states you run in. Ask your base state.</t>
  </si>
  <si>
    <t xml:space="preserve">49 U.S.C. 31701, 31705; fee: example</t>
  </si>
  <si>
    <t xml:space="preserve">Form 2290 heavy vehicle use tax (HVUT)</t>
  </si>
  <si>
    <t xml:space="preserve">Taxable gross weight 55,000 lb or more. Tax period July 1 to June 30; file by the last day of the month after first use.</t>
  </si>
  <si>
    <t xml:space="preserve">IRS Form 2290 and instructions (Rev. July 2026)</t>
  </si>
  <si>
    <t xml:space="preserve">Drug and alcohol testing program + Clearinghouse</t>
  </si>
  <si>
    <t xml:space="preserve">Drivers who need a CDL. A one-driver carrier must be in a random pool of two or more; query the Clearinghouse at least once a year.</t>
  </si>
  <si>
    <t xml:space="preserve">49 CFR 382.103, 382.701; price: example</t>
  </si>
  <si>
    <t xml:space="preserve">Commercial driver's license (CDL)</t>
  </si>
  <si>
    <t xml:space="preserve">Combination 26,001 lb+ GCWR with a trailer over 10,000 lb GVWR (Group A), or a single vehicle 26,001 lb+ (Group B). No cost modelled (you hold it already).</t>
  </si>
  <si>
    <t xml:space="preserve">49 CFR 383.5, 383.91, 390.3(b)</t>
  </si>
  <si>
    <t xml:space="preserve">Medical examiner's certificate</t>
  </si>
  <si>
    <t xml:space="preserve">Drivers of commercial motor vehicles must carry a current medical certificate.</t>
  </si>
  <si>
    <t xml:space="preserve">49 CFR 391.41; price: example</t>
  </si>
  <si>
    <t xml:space="preserve">Electronic logging device (ELD)</t>
  </si>
  <si>
    <t xml:space="preserve">Required for most carriers' drivers; exceptions include 8 days or fewer in 30 and vehicles made before model year 2000. Hardware is a startup cost; the subscription is on Operating Costs.</t>
  </si>
  <si>
    <t xml:space="preserve">49 CFR 395.8; price: example</t>
  </si>
  <si>
    <t xml:space="preserve">New entrant safety monitoring and audit</t>
  </si>
  <si>
    <t xml:space="preserve">New carriers are monitored for 18 months; the safety audit is generally after at least 3 months. No fee modelled.</t>
  </si>
  <si>
    <t xml:space="preserve">49 CFR 385.307</t>
  </si>
  <si>
    <t xml:space="preserve">Hours of service</t>
  </si>
  <si>
    <t xml:space="preserve">11 hours' driving after 10 hours off; no driving after the 14th hour on duty; 60/70-hour week. Daily check:</t>
  </si>
  <si>
    <t xml:space="preserve">49 CFR 395.3</t>
  </si>
  <si>
    <t xml:space="preserve">Some states charge their own per-mile tax on heavy trucks. Enter yours per mile on Assumptions section 5.</t>
  </si>
  <si>
    <t xml:space="preserve">Each state's tax agency (not opened by us)</t>
  </si>
  <si>
    <t xml:space="preserve">Totals (only lines that apply)</t>
  </si>
  <si>
    <t xml:space="preserve">One-time costs go into Startup &amp; Funding uses. Annual costs are expensed evenly in the P&amp;L; the Cash Flow pays them as set on Assumptions section 7 (lump sum or spread).</t>
  </si>
  <si>
    <t xml:space="preserve">The ELD subscription is switched off when 'ELD: applies?' is N. Insurance premiums are on Assumptions section 6.</t>
  </si>
  <si>
    <t xml:space="preserve">Driver pay and owner draw</t>
  </si>
  <si>
    <t xml:space="preserve">Hired driver: pay per mile × all miles, plus employer FICA and other payroll costs. Owner draw is not a business expense; it is taken out on the Cash Flow tab.</t>
  </si>
  <si>
    <t xml:space="preserve">Hired driver pay</t>
  </si>
  <si>
    <t xml:space="preserve">Employer FICA</t>
  </si>
  <si>
    <t xml:space="preserve">Other payroll costs</t>
  </si>
  <si>
    <t xml:space="preserve">TOTAL HIRED DRIVER COST</t>
  </si>
  <si>
    <t xml:space="preserve">Owner draw (memo: paid on Cash Flow)</t>
  </si>
  <si>
    <t xml:space="preserve">Profit and loss — 36 months, rolled up to 3 years</t>
  </si>
  <si>
    <t xml:space="preserve">Revenue less operating costs, driver pay, depreciation and interest. Owner draw is not an expense here; it is on the Cash Flow tab.</t>
  </si>
  <si>
    <t xml:space="preserve">Revenue to you</t>
  </si>
  <si>
    <t xml:space="preserve">Operating expenses</t>
  </si>
  <si>
    <t xml:space="preserve">Repairs, tires, tolls, state taxes, other per-mile</t>
  </si>
  <si>
    <t xml:space="preserve">Hired driver pay and payroll costs</t>
  </si>
  <si>
    <t xml:space="preserve">Insurance</t>
  </si>
  <si>
    <t xml:space="preserve">Compliance fees and taxes</t>
  </si>
  <si>
    <t xml:space="preserve">ELD, office, parking, other fixed</t>
  </si>
  <si>
    <t xml:space="preserve">Factoring and dispatch fees</t>
  </si>
  <si>
    <t xml:space="preserve">Total operating expenses</t>
  </si>
  <si>
    <t xml:space="preserve">EBITDA (before depreciation, interest, tax)</t>
  </si>
  <si>
    <t xml:space="preserve">Depreciation (truck + trailer)</t>
  </si>
  <si>
    <t xml:space="preserve">Loan interest (truck + trailer)</t>
  </si>
  <si>
    <t xml:space="preserve">Profit before tax</t>
  </si>
  <si>
    <t xml:space="preserve">Business income tax</t>
  </si>
  <si>
    <t xml:space="preserve">NET INCOME</t>
  </si>
  <si>
    <t xml:space="preserve">Ratios</t>
  </si>
  <si>
    <t xml:space="preserve">Operating ratio: (operating expenses + depreciation) ÷ revenue</t>
  </si>
  <si>
    <t xml:space="preserve">EBITDA margin</t>
  </si>
  <si>
    <t xml:space="preserve">Net margin</t>
  </si>
  <si>
    <t xml:space="preserve">Monthly cash flow — 36 months</t>
  </si>
  <si>
    <t xml:space="preserve">Starts with cash on hand on day one (Startup &amp; Funding). Each month is flagged SHORT (below $0) or LOW (below the low-cash warning level). Watch the lowest month.</t>
  </si>
  <si>
    <t xml:space="preserve">Opening cash</t>
  </si>
  <si>
    <t xml:space="preserve">Net income</t>
  </si>
  <si>
    <t xml:space="preserve">Add back depreciation (not a cash cost)</t>
  </si>
  <si>
    <t xml:space="preserve">Insurance and annual fees: expensed but not yet paid (+) / paid ahead (−)</t>
  </si>
  <si>
    <t xml:space="preserve">Customer payments received</t>
  </si>
  <si>
    <t xml:space="preserve">Less: revenue not yet paid by customers</t>
  </si>
  <si>
    <t xml:space="preserve">Less: loan principal (truck + trailer)</t>
  </si>
  <si>
    <t xml:space="preserve">Less: owner draw</t>
  </si>
  <si>
    <t xml:space="preserve">Net cash flow for the month</t>
  </si>
  <si>
    <t xml:space="preserve">ENDING CASH</t>
  </si>
  <si>
    <t xml:space="preserve">Cash warning</t>
  </si>
  <si>
    <t xml:space="preserve">Memo: money owed by customers at month end</t>
  </si>
  <si>
    <t xml:space="preserve">Cost per mile — what each mile costs you</t>
  </si>
  <si>
    <t xml:space="preserve">Each cost line ÷ total miles (loaded + empty) and ÷ loaded (paid) miles. Compare the loaded-mile cost with the rate you are offered.</t>
  </si>
  <si>
    <t xml:space="preserve">Cost line</t>
  </si>
  <si>
    <t xml:space="preserve">Y1 / total mi</t>
  </si>
  <si>
    <t xml:space="preserve">Y2 / total mi</t>
  </si>
  <si>
    <t xml:space="preserve">Y3 / total mi</t>
  </si>
  <si>
    <t xml:space="preserve">Y1 / loaded mi</t>
  </si>
  <si>
    <t xml:space="preserve">Y2 / loaded mi</t>
  </si>
  <si>
    <t xml:space="preserve">Y3 / loaded mi</t>
  </si>
  <si>
    <t xml:space="preserve">Fixed or variable</t>
  </si>
  <si>
    <t xml:space="preserve">Variable costs</t>
  </si>
  <si>
    <t xml:space="preserve">variable</t>
  </si>
  <si>
    <t xml:space="preserve">% of revenue</t>
  </si>
  <si>
    <t xml:space="preserve">Variable subtotal</t>
  </si>
  <si>
    <t xml:space="preserve">fixed</t>
  </si>
  <si>
    <t xml:space="preserve">Depreciation</t>
  </si>
  <si>
    <t xml:space="preserve">Loan interest</t>
  </si>
  <si>
    <t xml:space="preserve">Fixed subtotal</t>
  </si>
  <si>
    <t xml:space="preserve">TOTAL COST PER MILE (profit basis, before tax)</t>
  </si>
  <si>
    <t xml:space="preserve">CASH COST PER MILE (no depreciation; adds loan principal and owner draw)</t>
  </si>
  <si>
    <t xml:space="preserve">Revenue per mile</t>
  </si>
  <si>
    <t xml:space="preserve">Profit before tax per mile</t>
  </si>
  <si>
    <t xml:space="preserve">Fuel, maintenance, tires and tolls are spent on every mile, loaded or empty, which is why the loaded-mile cost is higher. Deadhead raises it.</t>
  </si>
  <si>
    <t xml:space="preserve">Break-even — the rate per loaded mile you need</t>
  </si>
  <si>
    <t xml:space="preserve">Year 1 basis. Profit basis: covers every cost, including depreciation and interest, but not your owner draw. Cash basis: covers cash costs, loan principal and your owner draw (no depreciation). Deadhead is included because costs are paid on all miles but revenue only on loaded miles.</t>
  </si>
  <si>
    <t xml:space="preserve">Profit basis</t>
  </si>
  <si>
    <t xml:space="preserve">Cash basis</t>
  </si>
  <si>
    <t xml:space="preserve">How it is worked out</t>
  </si>
  <si>
    <t xml:space="preserve">Total miles (Year 1)</t>
  </si>
  <si>
    <t xml:space="preserve">Revenue tab</t>
  </si>
  <si>
    <t xml:space="preserve">Loaded miles (Year 1)</t>
  </si>
  <si>
    <t xml:space="preserve">Variable costs: fuel, per-mile costs, hired driver</t>
  </si>
  <si>
    <t xml:space="preserve">Spent on every mile, loaded or empty</t>
  </si>
  <si>
    <t xml:space="preserve">Variable cost per total mile</t>
  </si>
  <si>
    <t xml:space="preserve">Fixed costs: insurance, compliance, ELD, office, parking, other</t>
  </si>
  <si>
    <t xml:space="preserve">Profit basis only (not cash)</t>
  </si>
  <si>
    <t xml:space="preserve">Loan principal</t>
  </si>
  <si>
    <t xml:space="preserve">Cash basis only</t>
  </si>
  <si>
    <t xml:space="preserve">Owner draw</t>
  </si>
  <si>
    <t xml:space="preserve">Fixed costs to cover (Year 1)</t>
  </si>
  <si>
    <t xml:space="preserve">Total cost to cover (Year 1)</t>
  </si>
  <si>
    <t xml:space="preserve">Variable + fixed</t>
  </si>
  <si>
    <t xml:space="preserve">Share of each revenue dollar you keep (after carrier share and fees)</t>
  </si>
  <si>
    <t xml:space="preserve">(1 − carrier's share if leased on) × (1 − factoring and dispatch %)</t>
  </si>
  <si>
    <t xml:space="preserve">BREAK-EVEN RATE PER LOADED MILE</t>
  </si>
  <si>
    <t xml:space="preserve">Total cost ÷ (share kept × loaded miles), less any fuel surcharge per loaded mile</t>
  </si>
  <si>
    <t xml:space="preserve">Your planned rate per loaded mile (Year 1)</t>
  </si>
  <si>
    <t xml:space="preserve">Assumptions section 3</t>
  </si>
  <si>
    <t xml:space="preserve">Margin of safety: how far the rate can fall before you stop breaking even</t>
  </si>
  <si>
    <t xml:space="preserve">(Planned − break-even) ÷ planned. Negative = the planned rate does not cover it.</t>
  </si>
  <si>
    <t xml:space="preserve">Status at the planned rate</t>
  </si>
  <si>
    <t xml:space="preserve">Planned loaded miles per month (Year 1 average)</t>
  </si>
  <si>
    <t xml:space="preserve">Contribution per loaded mile at the planned rate</t>
  </si>
  <si>
    <t xml:space="preserve">Revenue kept per loaded mile − variable cost per loaded mile (deadhead included)</t>
  </si>
  <si>
    <t xml:space="preserve">BREAK-EVEN LOADED MILES PER MONTH at the planned rate</t>
  </si>
  <si>
    <t xml:space="preserve">Fixed costs per month ÷ contribution per loaded mile</t>
  </si>
  <si>
    <t xml:space="preserve">Proof: the break-even rate reproduces Year 1 total cost</t>
  </si>
  <si>
    <t xml:space="preserve">Revenue kept at the break-even rate × loaded miles</t>
  </si>
  <si>
    <t xml:space="preserve">Difference from total cost to cover (should be $0)</t>
  </si>
  <si>
    <t xml:space="preserve">Year 1 includes the ramp-up months. Later years usually break even at a lower rate if miles are higher.</t>
  </si>
  <si>
    <t xml:space="preserve">Truck and trailer loans</t>
  </si>
  <si>
    <t xml:space="preserve">Fixed-rate loans, level monthly payments starting in the first month of operations (PMT). Balloon payments and variable rates are not modelled. Driven by Assumptions section 8.</t>
  </si>
  <si>
    <t xml:space="preserve">Truck loan</t>
  </si>
  <si>
    <t xml:space="preserve">Trailer loan</t>
  </si>
  <si>
    <t xml:space="preserve">Loan amount</t>
  </si>
  <si>
    <t xml:space="preserve">Annual rate</t>
  </si>
  <si>
    <t xml:space="preserve">Term (months)</t>
  </si>
  <si>
    <t xml:space="preserve">Monthly payment</t>
  </si>
  <si>
    <t xml:space="preserve">Year 1 debt service</t>
  </si>
  <si>
    <t xml:space="preserve">Year 2 debt service</t>
  </si>
  <si>
    <t xml:space="preserve">Year 3 debt service</t>
  </si>
  <si>
    <t xml:space="preserve">Balance after Year 3</t>
  </si>
  <si>
    <t xml:space="preserve">Rows beyond each loan's term show zero. Schedules cover up to 10 years.</t>
  </si>
  <si>
    <t xml:space="preserve">Beginning balance</t>
  </si>
  <si>
    <t xml:space="preserve">Payment</t>
  </si>
  <si>
    <t xml:space="preserve">Interest</t>
  </si>
  <si>
    <t xml:space="preserve">Principal</t>
  </si>
  <si>
    <t xml:space="preserve">Ending balance</t>
  </si>
  <si>
    <t xml:space="preserve">Startup costs and funding (sources and uses)</t>
  </si>
  <si>
    <t xml:space="preserve">Everything you pay before the first load, and where the money comes from. Driven by Assumptions.</t>
  </si>
  <si>
    <t xml:space="preserve">Uses of funds</t>
  </si>
  <si>
    <t xml:space="preserve">Amount</t>
  </si>
  <si>
    <t xml:space="preserve">% of total</t>
  </si>
  <si>
    <t xml:space="preserve">Note</t>
  </si>
  <si>
    <t xml:space="preserve">Truck (full price; the loan is a source below)</t>
  </si>
  <si>
    <t xml:space="preserve">Trailer (full price)</t>
  </si>
  <si>
    <t xml:space="preserve">One-time compliance costs (Compliance tab)</t>
  </si>
  <si>
    <t xml:space="preserve">USDOT, operating authority, BOC-3, drug and alcohol enrollment, ELD hardware</t>
  </si>
  <si>
    <t xml:space="preserve">Insurance down payment</t>
  </si>
  <si>
    <t xml:space="preserve">Down payment % × first-year premium</t>
  </si>
  <si>
    <t xml:space="preserve">Other startup costs</t>
  </si>
  <si>
    <t xml:space="preserve">Working-capital reserve</t>
  </si>
  <si>
    <t xml:space="preserve">Cash on hand on day one</t>
  </si>
  <si>
    <t xml:space="preserve">Total uses</t>
  </si>
  <si>
    <t xml:space="preserve">Sources of funds</t>
  </si>
  <si>
    <t xml:space="preserve">Owner cash</t>
  </si>
  <si>
    <t xml:space="preserve">Total sources</t>
  </si>
  <si>
    <t xml:space="preserve">Surplus (+) or funding gap (−)</t>
  </si>
  <si>
    <t xml:space="preserve">Cash on hand on day one (reserve + surplus)</t>
  </si>
  <si>
    <t xml:space="preserve">Feeds the Cash Flow tab's opening cash</t>
  </si>
  <si>
    <t xml:space="preserve">Loans as % of total uses</t>
  </si>
  <si>
    <t xml:space="preserve">Not in startup uses: the first year's annual fees and taxes (UCR, IRP, IFTA, Form 2290, drug and alcohol pool, medical exam). The Cash Flow pays them in month 1 out of the working-capital reserve.</t>
  </si>
  <si>
    <t xml:space="preserve">Key ratios — the numbers to watch</t>
  </si>
  <si>
    <t xml:space="preserve">Compare these with your lender's requirements and your own research; no industry benchmarks are included.</t>
  </si>
  <si>
    <t xml:space="preserve">Measure</t>
  </si>
  <si>
    <t xml:space="preserve">Total miles</t>
  </si>
  <si>
    <t xml:space="preserve">Loaded miles</t>
  </si>
  <si>
    <t xml:space="preserve">Revenue ÷ all miles</t>
  </si>
  <si>
    <t xml:space="preserve">Revenue per loaded mile</t>
  </si>
  <si>
    <t xml:space="preserve">Revenue ÷ loaded miles</t>
  </si>
  <si>
    <t xml:space="preserve">Cost per total mile (profit basis)</t>
  </si>
  <si>
    <t xml:space="preserve">Cost per Mile tab</t>
  </si>
  <si>
    <t xml:space="preserve">Operating ratio</t>
  </si>
  <si>
    <t xml:space="preserve">(Operating expenses + depreciation) ÷ revenue. Below 100% = operating profit.</t>
  </si>
  <si>
    <t xml:space="preserve">EBITDA</t>
  </si>
  <si>
    <t xml:space="preserve">Profit before depreciation, interest and tax</t>
  </si>
  <si>
    <t xml:space="preserve">P&amp;L bottom line (before your owner draw)</t>
  </si>
  <si>
    <t xml:space="preserve">Annual debt service (truck + trailer)</t>
  </si>
  <si>
    <t xml:space="preserve">Interest + principal paid in the year (Loan tab)</t>
  </si>
  <si>
    <t xml:space="preserve">Debt service coverage ratio (DSCR)</t>
  </si>
  <si>
    <t xml:space="preserve">Cash available for debt service ÷ annual debt service, where cash available = EBITDA − business income tax.</t>
  </si>
  <si>
    <t xml:space="preserve">DSCR after owner draw</t>
  </si>
  <si>
    <t xml:space="preserve">Same, after taking out your owner draw. For a one-truck owner-operator this is the stricter test.</t>
  </si>
  <si>
    <t xml:space="preserve">Ending cash</t>
  </si>
  <si>
    <t xml:space="preserve">Cash Flow tab</t>
  </si>
  <si>
    <t xml:space="preserve">Lowest month-end cash in the year</t>
  </si>
  <si>
    <t xml:space="preserve">Below zero means you need more working capital or financing</t>
  </si>
  <si>
    <t xml:space="preserve">Months with a cash warning</t>
  </si>
  <si>
    <t xml:space="preserve">Months flagged SHORT (below $0) or LOW (below the low-cash warning level)</t>
  </si>
  <si>
    <t xml:space="preserve">Break-even rates per loaded mile (profit and cash basis) are on the Break-Even tab.</t>
  </si>
  <si>
    <t xml:space="preserve">Model checks — all should say OK</t>
  </si>
  <si>
    <t xml:space="preserve">If one says CHECK after you change inputs, something is inconsistent (or a value was typed over a formula).</t>
  </si>
  <si>
    <t xml:space="preserve">Check</t>
  </si>
  <si>
    <t xml:space="preserve">Result</t>
  </si>
  <si>
    <t xml:space="preserve">Difference</t>
  </si>
  <si>
    <t xml:space="preserve">What it tests</t>
  </si>
  <si>
    <t xml:space="preserve">Funding: sources cover uses</t>
  </si>
  <si>
    <t xml:space="preserve">Startup &amp; Funding surplus is $0 or more</t>
  </si>
  <si>
    <t xml:space="preserve">Truck loan repaid by the end of its term</t>
  </si>
  <si>
    <t xml:space="preserve">Balance after the last scheduled payment</t>
  </si>
  <si>
    <t xml:space="preserve">Trailer loan repaid by the end of its term</t>
  </si>
  <si>
    <t xml:space="preserve">P&amp;L revenue equals the Revenue tab (36 months)</t>
  </si>
  <si>
    <t xml:space="preserve">Annual P&amp;L totals vs the sum of the 36 Revenue months</t>
  </si>
  <si>
    <t xml:space="preserve">Miles: loaded + deadhead = total (36 months)</t>
  </si>
  <si>
    <t xml:space="preserve">Miles identity</t>
  </si>
  <si>
    <t xml:space="preserve">Cash reconciliation, Year 1 (within $1)</t>
  </si>
  <si>
    <t xml:space="preserve">Day-one cash + net income + depreciation + (expensed − paid) − (revenue − collected) − principal − owner draws, rebuilt from Startup &amp; Funding, P&amp;L, Operating Costs, Revenue, Loan and Assumptions, vs Cash Flow ending cash</t>
  </si>
  <si>
    <t xml:space="preserve">Cash reconciliation, Years 1-3 (within $1)</t>
  </si>
  <si>
    <t xml:space="preserve">Break-even rate reproduces Year 1 total cost, profit basis</t>
  </si>
  <si>
    <t xml:space="preserve">Break-Even proof rows</t>
  </si>
  <si>
    <t xml:space="preserve">Break-even rate reproduces Year 1 total cost, cash basis</t>
  </si>
  <si>
    <t xml:space="preserve">Cost per mile × total miles = Year 1 total cost</t>
  </si>
  <si>
    <t xml:space="preserve">Cost per Mile vs P&amp;L (n/a when there are no miles)</t>
  </si>
  <si>
    <t xml:space="preserve">Hours of service: daily driving within 11 hours</t>
  </si>
  <si>
    <t xml:space="preserve">Miles per day ÷ average speed ≤ 11 (49 CFR 395.3). Weekly 60/70-hour limits are not checked.</t>
  </si>
  <si>
    <t xml:space="preserve">Cash never goes below $0 (no SHORT month); a business result, not a formula check</t>
  </si>
  <si>
    <t xml:space="preserve">No month ends below $0. LOW months are a warning, not a failure.</t>
  </si>
  <si>
    <t xml:space="preserve">Sources and notes</t>
  </si>
  <si>
    <t xml:space="preserve">Every value in this file that is not an example comes from one of the official pages below. Fees and rules change: check the page before you rely on a number. Planning tool only: not tax, legal or lending advice.</t>
  </si>
  <si>
    <t xml:space="preserve">Used for</t>
  </si>
  <si>
    <t xml:space="preserve">Value in this file</t>
  </si>
  <si>
    <t xml:space="preserve">Source</t>
  </si>
  <si>
    <t xml:space="preserve">Link</t>
  </si>
  <si>
    <t xml:space="preserve">Edition / date checked</t>
  </si>
  <si>
    <t xml:space="preserve">Operating authority fee</t>
  </si>
  <si>
    <t xml:space="preserve">$300 per type of authority</t>
  </si>
  <si>
    <t xml:space="preserve">49 CFR 360.3T (eCFR), FMCSA</t>
  </si>
  <si>
    <t xml:space="preserve">https://www.ecfr.gov/current/title-49/section-360.3T</t>
  </si>
  <si>
    <t xml:space="preserve">eCFR up to date as of 2026-10-09</t>
  </si>
  <si>
    <t xml:space="preserve">USDOT number fee</t>
  </si>
  <si>
    <t xml:space="preserve">$0 (no fee listed)</t>
  </si>
  <si>
    <t xml:space="preserve">49 CFR 360.3T (eCFR): no USDOT-number line in the operative fee schedule</t>
  </si>
  <si>
    <t xml:space="preserve">eCFR 2026-10-09</t>
  </si>
  <si>
    <t xml:space="preserve">USDOT number, MCS-150, 24-month update</t>
  </si>
  <si>
    <t xml:space="preserve">Applies? rule</t>
  </si>
  <si>
    <t xml:space="preserve">49 CFR 390.19T (eCFR)</t>
  </si>
  <si>
    <t xml:space="preserve">https://www.ecfr.gov/current/title-49/section-390.19T</t>
  </si>
  <si>
    <t xml:space="preserve">10,001 lb commercial motor vehicle</t>
  </si>
  <si>
    <t xml:space="preserve">Applies? rules</t>
  </si>
  <si>
    <t xml:space="preserve">49 CFR 390.5T (eCFR)</t>
  </si>
  <si>
    <t xml:space="preserve">https://www.ecfr.gov/current/title-49/section-390.5T</t>
  </si>
  <si>
    <t xml:space="preserve">MC numbers and the Motus system</t>
  </si>
  <si>
    <t xml:space="preserve">Wording only</t>
  </si>
  <si>
    <t xml:space="preserve">FMCSA notice, 91 FR 23144 (Federal Register)</t>
  </si>
  <si>
    <t xml:space="preserve">https://www.federalregister.gov/documents/2026/04/29/2026-08334/availability-of-motus-fmcsas-new-registration-system</t>
  </si>
  <si>
    <t xml:space="preserve">2026-04-29</t>
  </si>
  <si>
    <t xml:space="preserve">BOC-3 process agents</t>
  </si>
  <si>
    <t xml:space="preserve">49 CFR 366.2T and 366.4T (eCFR)</t>
  </si>
  <si>
    <t xml:space="preserve">https://www.ecfr.gov/current/title-49/section-366.2T</t>
  </si>
  <si>
    <t xml:space="preserve">Insurance: no operation without coverage</t>
  </si>
  <si>
    <t xml:space="preserve">Rule</t>
  </si>
  <si>
    <t xml:space="preserve">49 CFR 387.7 (eCFR)</t>
  </si>
  <si>
    <t xml:space="preserve">https://www.ecfr.gov/current/title-49/section-387.7</t>
  </si>
  <si>
    <t xml:space="preserve">Insurance minimum, 10,001 lb+</t>
  </si>
  <si>
    <t xml:space="preserve">$750,000 limit</t>
  </si>
  <si>
    <t xml:space="preserve">49 CFR 387.9 Table 1 (eCFR)</t>
  </si>
  <si>
    <t xml:space="preserve">https://www.ecfr.gov/current/title-49/section-387.9</t>
  </si>
  <si>
    <t xml:space="preserve">Insurance filing; lighter-vehicle minimum</t>
  </si>
  <si>
    <t xml:space="preserve">$300,000 / $750,000 limit</t>
  </si>
  <si>
    <t xml:space="preserve">49 CFR 387.301T, 387.303T (eCFR)</t>
  </si>
  <si>
    <t xml:space="preserve">https://www.ecfr.gov/current/title-49/section-387.303T</t>
  </si>
  <si>
    <t xml:space="preserve">$55 (2027+); $46 (2025-2026)</t>
  </si>
  <si>
    <t xml:space="preserve">49 CFR 367.40, 367.50 (eCFR); FMCSA final rule 91 FR 56063, effective 2026-10-01</t>
  </si>
  <si>
    <t xml:space="preserve">https://www.ecfr.gov/current/title-49/subtitle-B/chapter-III/subchapter-B/part-367</t>
  </si>
  <si>
    <t xml:space="preserve">UCR fee rule</t>
  </si>
  <si>
    <t xml:space="preserve">Context</t>
  </si>
  <si>
    <t xml:space="preserve">Fees for the Unified Carrier Registration Plan and Agreement (Federal Register)</t>
  </si>
  <si>
    <t xml:space="preserve">https://www.federalregister.gov/documents/2026/09/01/2026-17893/fees-for-the-unified-carrier-registration-plan-and-agreement</t>
  </si>
  <si>
    <t xml:space="preserve">2026-09-01</t>
  </si>
  <si>
    <t xml:space="preserve">IRP and IFTA definitions control</t>
  </si>
  <si>
    <t xml:space="preserve">Context (fees are examples)</t>
  </si>
  <si>
    <t xml:space="preserve">49 U.S.C. 31701 (Cornell LII)</t>
  </si>
  <si>
    <t xml:space="preserve">https://www.law.cornell.edu/uscode/text/49/31701</t>
  </si>
  <si>
    <t xml:space="preserve">opened 2026-10-14</t>
  </si>
  <si>
    <t xml:space="preserve">IFTA single base state</t>
  </si>
  <si>
    <t xml:space="preserve">49 U.S.C. 31705 (Cornell LII)</t>
  </si>
  <si>
    <t xml:space="preserve">https://www.law.cornell.edu/uscode/text/49/31705</t>
  </si>
  <si>
    <t xml:space="preserve">Form 2290 tax table</t>
  </si>
  <si>
    <t xml:space="preserve">$100-$550 by weight (section 11)</t>
  </si>
  <si>
    <t xml:space="preserve">https://www.irs.gov/pub/irs-pdf/f2290.pdf</t>
  </si>
  <si>
    <t xml:space="preserve">Rev. July 2026; downloaded 2026-10-14</t>
  </si>
  <si>
    <t xml:space="preserve">Form 2290: 55,000 lb, tax period, due date, taxable gross weight</t>
  </si>
  <si>
    <t xml:space="preserve">Instructions for Form 2290 (Rev. July 2026)</t>
  </si>
  <si>
    <t xml:space="preserve">https://www.irs.gov/pub/irs-pdf/i2290.pdf</t>
  </si>
  <si>
    <t xml:space="preserve">Rev. July 2026</t>
  </si>
  <si>
    <t xml:space="preserve">Form 2290 overview</t>
  </si>
  <si>
    <t xml:space="preserve">IRS, About Form 2290</t>
  </si>
  <si>
    <t xml:space="preserve">https://www.irs.gov/forms-pubs/about-form-2290</t>
  </si>
  <si>
    <t xml:space="preserve">page updated 06-Jul-2026</t>
  </si>
  <si>
    <t xml:space="preserve">Drug and alcohol testing applies to CDL drivers; pool of two or more</t>
  </si>
  <si>
    <t xml:space="preserve">49 CFR 382.103 (eCFR)</t>
  </si>
  <si>
    <t xml:space="preserve">https://www.ecfr.gov/current/title-49/section-382.103</t>
  </si>
  <si>
    <t xml:space="preserve">Annual Clearinghouse query</t>
  </si>
  <si>
    <t xml:space="preserve">Rule (price is an example)</t>
  </si>
  <si>
    <t xml:space="preserve">49 CFR 382.701 (eCFR)</t>
  </si>
  <si>
    <t xml:space="preserve">https://www.ecfr.gov/current/title-49/section-382.701</t>
  </si>
  <si>
    <t xml:space="preserve">CDL weight thresholds</t>
  </si>
  <si>
    <t xml:space="preserve">49 CFR 383.5, 383.91 (eCFR)</t>
  </si>
  <si>
    <t xml:space="preserve">https://www.ecfr.gov/current/title-49/section-383.91</t>
  </si>
  <si>
    <t xml:space="preserve">Medical certificate</t>
  </si>
  <si>
    <t xml:space="preserve">49 CFR 391.41 (eCFR)</t>
  </si>
  <si>
    <t xml:space="preserve">https://www.ecfr.gov/current/title-49/section-391.41</t>
  </si>
  <si>
    <t xml:space="preserve">ELD requirement and exceptions</t>
  </si>
  <si>
    <t xml:space="preserve">49 CFR 395.8 (eCFR)</t>
  </si>
  <si>
    <t xml:space="preserve">https://www.ecfr.gov/current/title-49/section-395.8</t>
  </si>
  <si>
    <t xml:space="preserve">Hours of service (miles-per-day check)</t>
  </si>
  <si>
    <t xml:space="preserve">11 hours' driving</t>
  </si>
  <si>
    <t xml:space="preserve">49 CFR 395.3 (eCFR)</t>
  </si>
  <si>
    <t xml:space="preserve">https://www.ecfr.gov/current/title-49/section-395.3</t>
  </si>
  <si>
    <t xml:space="preserve">New entrant monitoring and safety audit</t>
  </si>
  <si>
    <t xml:space="preserve">49 CFR 385.307 (eCFR)</t>
  </si>
  <si>
    <t xml:space="preserve">https://www.ecfr.gov/current/title-49/section-385.307</t>
  </si>
  <si>
    <t xml:space="preserve">Employer FICA on hired driver pay</t>
  </si>
  <si>
    <t xml:space="preserve">7.65%</t>
  </si>
  <si>
    <t xml:space="preserve">IRS Topic no. 751</t>
  </si>
  <si>
    <t xml:space="preserve">https://www.irs.gov/taxtopics/tc751</t>
  </si>
  <si>
    <t xml:space="preserve">page updated 24-Sep-2026</t>
  </si>
  <si>
    <t xml:space="preserve">Self-employment tax (pointer for owner draw)</t>
  </si>
  <si>
    <t xml:space="preserve">15.3% (not calculated)</t>
  </si>
  <si>
    <t xml:space="preserve">IRS, Self-employment tax</t>
  </si>
  <si>
    <t xml:space="preserve">https://www.irs.gov/businesses/small-businesses-self-employed/self-employment-tax-social-security-and-medicare-taxes</t>
  </si>
  <si>
    <t xml:space="preserve">page updated 27-Jun-2026</t>
  </si>
  <si>
    <t xml:space="preserve">Tax depreciation (pointer)</t>
  </si>
  <si>
    <t xml:space="preserve">Not used: book life is an example</t>
  </si>
  <si>
    <t xml:space="preserve">IRS Publication 946</t>
  </si>
  <si>
    <t xml:space="preserve">https://www.irs.gov/publications/p946</t>
  </si>
  <si>
    <t xml:space="preserve">page updated 30-Apr-2026</t>
  </si>
  <si>
    <t xml:space="preserve">SBA 7(a) loans (pointer)</t>
  </si>
  <si>
    <t xml:space="preserve">No number used</t>
  </si>
  <si>
    <t xml:space="preserve">SBA, 7(a) loans</t>
  </si>
  <si>
    <t xml:space="preserve">https://www.sba.gov/funding-programs/loans/7a-loans</t>
  </si>
  <si>
    <t xml:space="preserve">SBA business-plan guidance (pointer)</t>
  </si>
  <si>
    <t xml:space="preserve">SBA, Write your business plan</t>
  </si>
  <si>
    <t xml:space="preserve">https://www.sba.gov/business-guide/plan-your-business/write-your-business-plan</t>
  </si>
  <si>
    <t xml:space="preserve">Where to check your own numbers (we did not take any number from these pages)</t>
  </si>
  <si>
    <t xml:space="preserve">Diesel price</t>
  </si>
  <si>
    <t xml:space="preserve">EIA weekly retail on-highway diesel prices</t>
  </si>
  <si>
    <t xml:space="preserve">https://www.eia.gov/petroleum/gasdiesel/</t>
  </si>
  <si>
    <t xml:space="preserve">Industry cost-per-mile study</t>
  </si>
  <si>
    <t xml:space="preserve">ATRI, Operational Costs of Trucking</t>
  </si>
  <si>
    <t xml:space="preserve">https://truckingresearch.org/about-atri/atri-research/operational-costs-of-trucking/</t>
  </si>
  <si>
    <t xml:space="preserve">Registration with FMCSA</t>
  </si>
  <si>
    <t xml:space="preserve">FMCSA registration</t>
  </si>
  <si>
    <t xml:space="preserve">https://www.fmcsa.dot.gov/registration</t>
  </si>
  <si>
    <t xml:space="preserve">UCR registration</t>
  </si>
  <si>
    <t xml:space="preserve">UCR Plan</t>
  </si>
  <si>
    <t xml:space="preserve">https://www.ucr.gov</t>
  </si>
  <si>
    <t xml:space="preserve">IRP apportioned plates</t>
  </si>
  <si>
    <t xml:space="preserve">International Registration Plan (and your base state)</t>
  </si>
  <si>
    <t xml:space="preserve">https://www.irponline.org</t>
  </si>
  <si>
    <t xml:space="preserve">IFTA fuel-tax license</t>
  </si>
  <si>
    <t xml:space="preserve">IFTA, Inc. (and your base state)</t>
  </si>
  <si>
    <t xml:space="preserve">https://www.iftach.org</t>
  </si>
  <si>
    <t xml:space="preserve">Drug and alcohol Clearinghouse</t>
  </si>
  <si>
    <t xml:space="preserve">FMCSA Clearinghouse</t>
  </si>
  <si>
    <t xml:space="preserve">https://clearinghouse.fmcsa.dot.gov</t>
  </si>
  <si>
    <t xml:space="preserve">Example inputs</t>
  </si>
  <si>
    <t xml:space="preserve">Every other input (truck and trailer prices, loan terms, miles, deadhead, rate per mile, fuel economy, diesel price, per-mile costs, insurance, IRP and IFTA fees, ELD, driver pay, owner draw, startup costs) is an example to replace with your own numbers and quotes. None is an industry average or a real carrier's figure.</t>
  </si>
  <si>
    <t xml:space="preserve">Known limitations</t>
  </si>
  <si>
    <t xml:space="preserve">• One-time costs before the first load (authority, BOC-3, drug-test enrollment, ELD hardware, other startup) are in Startup &amp; Funding uses, not in the P&amp;L.</t>
  </si>
  <si>
    <t xml:space="preserve">• Annual fees are paid at opening and every 12 months (or spread monthly). Real due dates differ by item; Form 2290 for a truck first used after July is prorated by the IRS, which the model does not do.</t>
  </si>
  <si>
    <t xml:space="preserve">• The diesel price is the pump price, which includes fuel taxes. The quarterly IFTA return can add or refund tax; enter an estimate as an 'other per-mile cost'.</t>
  </si>
  <si>
    <t xml:space="preserve">• IRP and IFTA fees, state weight-distance taxes and intrastate state permits are your inputs; the model does not calculate them by state.</t>
  </si>
  <si>
    <t xml:space="preserve">• No balance sheet. Customer payment timing is 0 or 1 month; no supplier credit. No per-lane or per-load detail, no fleet growth.</t>
  </si>
  <si>
    <t xml:space="preserve">• Fixed-rate loans with level payments from the first month; no balloon, interest-only period or loan fees.</t>
  </si>
  <si>
    <t xml:space="preserve">• Straight-line depreciation for planning; tax depreciation will differ (IRS Publication 946).</t>
  </si>
  <si>
    <t xml:space="preserve">• Business income tax is a flat % of positive monthly profit, with no loss carryforward. Your personal income and self-employment tax are not calculated.</t>
  </si>
  <si>
    <t xml:space="preserve">• Hours-of-service compliance is your job. The model only checks that miles per day fit 11 driving hours at your average speed.</t>
  </si>
  <si>
    <t xml:space="preserve">• Built for Microsoft Excel (.xlsx). Uses only standard functions; not yet tested in Google Sheets or other spreadsheet apps.</t>
  </si>
  <si>
    <t xml:space="preserve">• Planning tool, not tax, legal or lending advice.</t>
  </si>
</sst>
</file>

<file path=xl/styles.xml><?xml version="1.0" encoding="utf-8"?>
<styleSheet xmlns="http://schemas.openxmlformats.org/spreadsheetml/2006/main">
  <numFmts count="19">
    <numFmt numFmtId="164" formatCode="General"/>
    <numFmt numFmtId="165" formatCode="\$#,##0;&quot;($&quot;#,##0\);\-"/>
    <numFmt numFmtId="166" formatCode="\$#,##0.000;&quot;($&quot;#,##0.000\);\-"/>
    <numFmt numFmtId="167" formatCode="0.00\x;\(0.00&quot;x)&quot;;\-"/>
    <numFmt numFmtId="168" formatCode="@"/>
    <numFmt numFmtId="169" formatCode="mmm\ yyyy"/>
    <numFmt numFmtId="170" formatCode="0"/>
    <numFmt numFmtId="171" formatCode="0.0%;\(0.0%\);\-"/>
    <numFmt numFmtId="172" formatCode="#,##0&quot; lb&quot;"/>
    <numFmt numFmtId="173" formatCode="#,##0;\(#,##0\);\-"/>
    <numFmt numFmtId="174" formatCode="\$#,##0.00;&quot;($&quot;#,##0.00\);\-"/>
    <numFmt numFmtId="175" formatCode="0.0"/>
    <numFmt numFmtId="176" formatCode="0.00%"/>
    <numFmt numFmtId="177" formatCode="#,##0"/>
    <numFmt numFmtId="178" formatCode="&quot;Yes&quot;;&quot;Yes&quot;;&quot;No&quot;"/>
    <numFmt numFmtId="179" formatCode="#,##0.0;\(#,##0.0\);\-"/>
    <numFmt numFmtId="180" formatCode="mmm\ yy"/>
    <numFmt numFmtId="181" formatCode="0.000"/>
    <numFmt numFmtId="182" formatCode="\$#,##0&quot; limit&quot;"/>
  </numFmts>
  <fonts count="15">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0"/>
      <color rgb="FF555555"/>
      <name val="Arial"/>
      <family val="0"/>
      <charset val="1"/>
    </font>
    <font>
      <b val="true"/>
      <sz val="10"/>
      <name val="Arial"/>
      <family val="0"/>
      <charset val="1"/>
    </font>
    <font>
      <b val="true"/>
      <sz val="10"/>
      <color rgb="FFC00000"/>
      <name val="Arial"/>
      <family val="0"/>
      <charset val="1"/>
    </font>
    <font>
      <b val="true"/>
      <sz val="10"/>
      <color rgb="FFFFFFFF"/>
      <name val="Arial"/>
      <family val="0"/>
      <charset val="1"/>
    </font>
    <font>
      <sz val="10"/>
      <name val="Arial"/>
      <family val="0"/>
      <charset val="1"/>
    </font>
    <font>
      <sz val="10"/>
      <color rgb="FF0000FF"/>
      <name val="Arial"/>
      <family val="0"/>
      <charset val="1"/>
    </font>
    <font>
      <sz val="10"/>
      <color rgb="FF008000"/>
      <name val="Arial"/>
      <family val="0"/>
      <charset val="1"/>
    </font>
    <font>
      <u val="single"/>
      <sz val="10"/>
      <color rgb="FF0563C1"/>
      <name val="Arial"/>
      <family val="0"/>
      <charset val="1"/>
    </font>
    <font>
      <b val="true"/>
      <sz val="14"/>
      <color rgb="FF1F3A5F"/>
      <name val="Arial"/>
      <family val="2"/>
    </font>
    <font>
      <sz val="11"/>
      <name val="Arial"/>
      <family val="2"/>
    </font>
  </fonts>
  <fills count="6">
    <fill>
      <patternFill patternType="none"/>
    </fill>
    <fill>
      <patternFill patternType="gray125"/>
    </fill>
    <fill>
      <patternFill patternType="solid">
        <fgColor rgb="FF1F3A5F"/>
        <bgColor rgb="FF333333"/>
      </patternFill>
    </fill>
    <fill>
      <patternFill patternType="solid">
        <fgColor rgb="FFFFFF99"/>
        <bgColor rgb="FFF2F2F2"/>
      </patternFill>
    </fill>
    <fill>
      <patternFill patternType="solid">
        <fgColor rgb="FFDCE6F1"/>
        <bgColor rgb="FFF2F2F2"/>
      </patternFill>
    </fill>
    <fill>
      <patternFill patternType="solid">
        <fgColor rgb="FFF2F2F2"/>
        <bgColor rgb="FFFFFFFF"/>
      </patternFill>
    </fill>
  </fills>
  <borders count="2">
    <border diagonalUp="false" diagonalDown="false">
      <left/>
      <right/>
      <top/>
      <bottom/>
      <diagonal/>
    </border>
    <border diagonalUp="false" diagonalDown="false">
      <left/>
      <right/>
      <top style="thin">
        <color rgb="FF999999"/>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true" applyProtection="false">
      <alignment horizontal="left" vertical="bottom" textRotation="0" wrapText="false" indent="0" shrinkToFit="false"/>
      <protection locked="true" hidden="false"/>
    </xf>
    <xf numFmtId="166" fontId="11" fillId="0" borderId="0" xfId="0" applyFont="true" applyBorder="false" applyAlignment="true" applyProtection="false">
      <alignment horizontal="left" vertical="bottom" textRotation="0" wrapText="false" indent="0" shrinkToFit="false"/>
      <protection locked="true" hidden="false"/>
    </xf>
    <xf numFmtId="167" fontId="11" fillId="0" borderId="0" xfId="0" applyFont="true" applyBorder="false" applyAlignment="true" applyProtection="false">
      <alignment horizontal="left" vertical="bottom" textRotation="0" wrapText="false" indent="0" shrinkToFit="false"/>
      <protection locked="true" hidden="false"/>
    </xf>
    <xf numFmtId="168" fontId="10" fillId="3" borderId="0" xfId="0" applyFont="true" applyBorder="false" applyAlignment="false" applyProtection="false">
      <alignment horizontal="general" vertical="bottom" textRotation="0" wrapText="false" indent="0" shrinkToFit="false"/>
      <protection locked="true" hidden="false"/>
    </xf>
    <xf numFmtId="169" fontId="10" fillId="3" borderId="0" xfId="0" applyFont="true" applyBorder="false" applyAlignment="false" applyProtection="false">
      <alignment horizontal="general" vertical="bottom" textRotation="0" wrapText="false" indent="0" shrinkToFit="false"/>
      <protection locked="true" hidden="false"/>
    </xf>
    <xf numFmtId="170" fontId="10" fillId="3" borderId="0" xfId="0" applyFont="true" applyBorder="false" applyAlignment="false" applyProtection="false">
      <alignment horizontal="general" vertical="bottom" textRotation="0" wrapText="false" indent="0" shrinkToFit="false"/>
      <protection locked="true" hidden="false"/>
    </xf>
    <xf numFmtId="171" fontId="10" fillId="3" borderId="0" xfId="0" applyFont="true" applyBorder="false" applyAlignment="false" applyProtection="false">
      <alignment horizontal="general" vertical="bottom" textRotation="0" wrapText="false" indent="0" shrinkToFit="false"/>
      <protection locked="true" hidden="false"/>
    </xf>
    <xf numFmtId="172" fontId="10" fillId="3" borderId="0" xfId="0" applyFont="true" applyBorder="false" applyAlignment="false" applyProtection="false">
      <alignment horizontal="general" vertical="bottom" textRotation="0" wrapText="false" indent="0" shrinkToFit="false"/>
      <protection locked="true" hidden="false"/>
    </xf>
    <xf numFmtId="173" fontId="10" fillId="3" borderId="0" xfId="0" applyFont="true" applyBorder="false" applyAlignment="false" applyProtection="false">
      <alignment horizontal="general" vertical="bottom" textRotation="0" wrapText="false" indent="0" shrinkToFit="false"/>
      <protection locked="true" hidden="false"/>
    </xf>
    <xf numFmtId="174" fontId="10" fillId="3" borderId="0" xfId="0" applyFont="true" applyBorder="false" applyAlignment="false" applyProtection="false">
      <alignment horizontal="general" vertical="bottom" textRotation="0" wrapText="false" indent="0" shrinkToFit="false"/>
      <protection locked="true" hidden="false"/>
    </xf>
    <xf numFmtId="175" fontId="10" fillId="3" borderId="0" xfId="0" applyFont="true" applyBorder="false" applyAlignment="false" applyProtection="false">
      <alignment horizontal="general" vertical="bottom" textRotation="0" wrapText="false" indent="0" shrinkToFit="false"/>
      <protection locked="true" hidden="false"/>
    </xf>
    <xf numFmtId="166" fontId="10" fillId="3" borderId="0" xfId="0" applyFont="true" applyBorder="false" applyAlignment="false" applyProtection="false">
      <alignment horizontal="general" vertical="bottom" textRotation="0" wrapText="false" indent="0" shrinkToFit="false"/>
      <protection locked="true" hidden="false"/>
    </xf>
    <xf numFmtId="165" fontId="10" fillId="3" borderId="0" xfId="0" applyFont="true" applyBorder="false" applyAlignment="false" applyProtection="false">
      <alignment horizontal="general" vertical="bottom" textRotation="0" wrapText="false" indent="0" shrinkToFit="false"/>
      <protection locked="true" hidden="false"/>
    </xf>
    <xf numFmtId="176" fontId="10" fillId="3" borderId="0" xfId="0" applyFont="true" applyBorder="false" applyAlignment="false" applyProtection="false">
      <alignment horizontal="general" vertical="bottom" textRotation="0" wrapText="false" indent="0" shrinkToFit="false"/>
      <protection locked="true" hidden="false"/>
    </xf>
    <xf numFmtId="177" fontId="10" fillId="3" borderId="0" xfId="0" applyFont="true" applyBorder="fals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71" fontId="9" fillId="0" borderId="0" xfId="0" applyFont="true" applyBorder="false" applyAlignment="false" applyProtection="false">
      <alignment horizontal="general" vertical="bottom" textRotation="0" wrapText="false" indent="0" shrinkToFit="false"/>
      <protection locked="true" hidden="false"/>
    </xf>
    <xf numFmtId="178" fontId="9" fillId="0" borderId="0" xfId="0" applyFont="true" applyBorder="false" applyAlignment="false" applyProtection="false">
      <alignment horizontal="general" vertical="bottom" textRotation="0" wrapText="false" indent="0" shrinkToFit="false"/>
      <protection locked="true" hidden="false"/>
    </xf>
    <xf numFmtId="174" fontId="9"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73" fontId="9" fillId="0" borderId="0" xfId="0" applyFont="true" applyBorder="false" applyAlignment="false" applyProtection="false">
      <alignment horizontal="general" vertical="bottom" textRotation="0" wrapText="false" indent="0" shrinkToFit="false"/>
      <protection locked="true" hidden="false"/>
    </xf>
    <xf numFmtId="179" fontId="9"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73" fontId="6" fillId="0" borderId="0" xfId="0" applyFont="true" applyBorder="false" applyAlignment="true" applyProtection="false">
      <alignment horizontal="center" vertical="bottom" textRotation="0" wrapText="false" indent="0" shrinkToFit="false"/>
      <protection locked="true" hidden="false"/>
    </xf>
    <xf numFmtId="164" fontId="6" fillId="0" borderId="0" xfId="0" applyFont="true" applyBorder="false" applyAlignment="true" applyProtection="false">
      <alignment horizontal="center" vertical="bottom" textRotation="0" wrapText="false" indent="0" shrinkToFit="false"/>
      <protection locked="true" hidden="false"/>
    </xf>
    <xf numFmtId="173" fontId="9" fillId="0" borderId="0" xfId="0" applyFont="true" applyBorder="false" applyAlignment="true" applyProtection="false">
      <alignment horizontal="center" vertical="bottom" textRotation="0" wrapText="false" indent="0" shrinkToFit="false"/>
      <protection locked="true" hidden="false"/>
    </xf>
    <xf numFmtId="180" fontId="8" fillId="2" borderId="0" xfId="0" applyFont="true" applyBorder="false" applyAlignment="true" applyProtection="false">
      <alignment horizontal="center" vertical="bottom" textRotation="0" wrapText="false" indent="0" shrinkToFit="false"/>
      <protection locked="true" hidden="false"/>
    </xf>
    <xf numFmtId="164" fontId="8" fillId="2" borderId="0" xfId="0" applyFont="true" applyBorder="false" applyAlignment="true" applyProtection="false">
      <alignment horizontal="center"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73" fontId="6" fillId="0" borderId="1" xfId="0" applyFont="true" applyBorder="true" applyAlignment="false" applyProtection="false">
      <alignment horizontal="general" vertical="bottom" textRotation="0" wrapText="false" indent="0" shrinkToFit="false"/>
      <protection locked="true" hidden="false"/>
    </xf>
    <xf numFmtId="173" fontId="6" fillId="5" borderId="1" xfId="0" applyFont="true" applyBorder="true" applyAlignment="false" applyProtection="false">
      <alignment horizontal="general" vertical="bottom" textRotation="0" wrapText="false" indent="0" shrinkToFit="false"/>
      <protection locked="true" hidden="false"/>
    </xf>
    <xf numFmtId="173" fontId="9" fillId="5" borderId="0" xfId="0" applyFont="true" applyBorder="false" applyAlignment="false" applyProtection="false">
      <alignment horizontal="general" vertical="bottom" textRotation="0" wrapText="false" indent="0" shrinkToFit="false"/>
      <protection locked="true" hidden="false"/>
    </xf>
    <xf numFmtId="181"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6" fontId="9" fillId="5" borderId="0" xfId="0" applyFont="true" applyBorder="false" applyAlignment="false" applyProtection="false">
      <alignment horizontal="general" vertical="bottom" textRotation="0" wrapText="false" indent="0" shrinkToFit="false"/>
      <protection locked="true" hidden="false"/>
    </xf>
    <xf numFmtId="165" fontId="9" fillId="5" borderId="0" xfId="0" applyFont="true" applyBorder="fals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5" fontId="6" fillId="5" borderId="1" xfId="0" applyFont="true" applyBorder="tru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center" textRotation="0" wrapText="true" indent="0" shrinkToFit="false"/>
      <protection locked="true" hidden="false"/>
    </xf>
    <xf numFmtId="178" fontId="9" fillId="0" borderId="0" xfId="0" applyFont="true" applyBorder="false" applyAlignment="true" applyProtection="false">
      <alignment horizontal="center" vertical="top" textRotation="0" wrapText="false" indent="0" shrinkToFit="false"/>
      <protection locked="true" hidden="false"/>
    </xf>
    <xf numFmtId="168" fontId="11" fillId="0" borderId="0" xfId="0" applyFont="true" applyBorder="false" applyAlignment="true" applyProtection="false">
      <alignment horizontal="center" vertical="top" textRotation="0" wrapText="false" indent="0" shrinkToFit="false"/>
      <protection locked="true" hidden="false"/>
    </xf>
    <xf numFmtId="178" fontId="6" fillId="0" borderId="0" xfId="0" applyFont="true" applyBorder="false" applyAlignment="true" applyProtection="false">
      <alignment horizontal="center" vertical="top" textRotation="0" wrapText="false" indent="0" shrinkToFit="false"/>
      <protection locked="true" hidden="false"/>
    </xf>
    <xf numFmtId="165" fontId="9"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82" fontId="11"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center" vertical="top" textRotation="0" wrapText="false" indent="0" shrinkToFit="false"/>
      <protection locked="true" hidden="false"/>
    </xf>
    <xf numFmtId="168" fontId="11" fillId="0" borderId="0" xfId="0" applyFont="true" applyBorder="false" applyAlignment="true" applyProtection="false">
      <alignment horizontal="general" vertical="top" textRotation="0" wrapText="true" indent="0" shrinkToFit="false"/>
      <protection locked="true" hidden="false"/>
    </xf>
    <xf numFmtId="164" fontId="6" fillId="5" borderId="1" xfId="0" applyFont="tru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5" fontId="11" fillId="0" borderId="1" xfId="0" applyFont="true" applyBorder="tru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71" fontId="9" fillId="5"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true" applyProtection="false">
      <alignment horizontal="center" vertical="bottom" textRotation="0" wrapText="false" indent="0" shrinkToFit="false"/>
      <protection locked="true" hidden="false"/>
    </xf>
    <xf numFmtId="166" fontId="6" fillId="5" borderId="1" xfId="0" applyFont="true" applyBorder="tru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73" fontId="6" fillId="0" borderId="0" xfId="0" applyFont="true" applyBorder="false" applyAlignment="false" applyProtection="false">
      <alignment horizontal="general" vertical="bottom" textRotation="0" wrapText="false" indent="0" shrinkToFit="false"/>
      <protection locked="true" hidden="false"/>
    </xf>
    <xf numFmtId="176" fontId="11" fillId="0" borderId="0" xfId="0" applyFont="true" applyBorder="false" applyAlignment="false" applyProtection="false">
      <alignment horizontal="general" vertical="bottom" textRotation="0" wrapText="false" indent="0" shrinkToFit="false"/>
      <protection locked="true" hidden="false"/>
    </xf>
    <xf numFmtId="174" fontId="6"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center" vertical="bottom" textRotation="0" wrapText="tru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0" fontId="13" fillId="0" borderId="0" xfId="0" applyFont="true" applyAlignment="true">
      <alignment horizontal="left" vertical="top" wrapText="true"/>
    </xf>
    <xf numFmtId="0" fontId="14" fillId="0" borderId="0" xfId="0" applyFont="true" applyAlignment="true">
      <alignment horizontal="left" vertical="top" wrapText="tru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DCE6F1"/>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99999"/>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sharedStrings" Target="sharedStrings.xml"/>
<Relationship Id="rId19" Type="http://schemas.openxmlformats.org/officeDocument/2006/relationships/worksheet" Target="worksheets/sheet16.xml"/></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5.xml.rels><?xml version="1.0" encoding="UTF-8"?>
<Relationships xmlns="http://schemas.openxmlformats.org/package/2006/relationships"><Relationship Id="rId1" Type="http://schemas.openxmlformats.org/officeDocument/2006/relationships/hyperlink" Target="https://www.ecfr.gov/current/title-49/section-360.3T" TargetMode="External"/><Relationship Id="rId2" Type="http://schemas.openxmlformats.org/officeDocument/2006/relationships/hyperlink" Target="https://www.ecfr.gov/current/title-49/section-360.3T" TargetMode="External"/><Relationship Id="rId3" Type="http://schemas.openxmlformats.org/officeDocument/2006/relationships/hyperlink" Target="https://www.ecfr.gov/current/title-49/section-390.19T" TargetMode="External"/><Relationship Id="rId4" Type="http://schemas.openxmlformats.org/officeDocument/2006/relationships/hyperlink" Target="https://www.ecfr.gov/current/title-49/section-390.5T" TargetMode="External"/><Relationship Id="rId5" Type="http://schemas.openxmlformats.org/officeDocument/2006/relationships/hyperlink" Target="https://www.federalregister.gov/documents/2026/04/29/2026-08334/availability-of-motus-fmcsas-new-registration-system" TargetMode="External"/><Relationship Id="rId6" Type="http://schemas.openxmlformats.org/officeDocument/2006/relationships/hyperlink" Target="https://www.ecfr.gov/current/title-49/section-366.2T" TargetMode="External"/><Relationship Id="rId7" Type="http://schemas.openxmlformats.org/officeDocument/2006/relationships/hyperlink" Target="https://www.ecfr.gov/current/title-49/section-387.7" TargetMode="External"/><Relationship Id="rId8" Type="http://schemas.openxmlformats.org/officeDocument/2006/relationships/hyperlink" Target="https://www.ecfr.gov/current/title-49/section-387.9" TargetMode="External"/><Relationship Id="rId9" Type="http://schemas.openxmlformats.org/officeDocument/2006/relationships/hyperlink" Target="https://www.ecfr.gov/current/title-49/section-387.303T" TargetMode="External"/><Relationship Id="rId10" Type="http://schemas.openxmlformats.org/officeDocument/2006/relationships/hyperlink" Target="https://www.ecfr.gov/current/title-49/subtitle-B/chapter-III/subchapter-B/part-367" TargetMode="External"/><Relationship Id="rId11" Type="http://schemas.openxmlformats.org/officeDocument/2006/relationships/hyperlink" Target="https://www.federalregister.gov/documents/2026/09/01/2026-17893/fees-for-the-unified-carrier-registration-plan-and-agreement" TargetMode="External"/><Relationship Id="rId12" Type="http://schemas.openxmlformats.org/officeDocument/2006/relationships/hyperlink" Target="https://www.law.cornell.edu/uscode/text/49/31701" TargetMode="External"/><Relationship Id="rId13" Type="http://schemas.openxmlformats.org/officeDocument/2006/relationships/hyperlink" Target="https://www.law.cornell.edu/uscode/text/49/31705" TargetMode="External"/><Relationship Id="rId14" Type="http://schemas.openxmlformats.org/officeDocument/2006/relationships/hyperlink" Target="https://www.irs.gov/pub/irs-pdf/f2290.pdf" TargetMode="External"/><Relationship Id="rId15" Type="http://schemas.openxmlformats.org/officeDocument/2006/relationships/hyperlink" Target="https://www.irs.gov/pub/irs-pdf/i2290.pdf" TargetMode="External"/><Relationship Id="rId16" Type="http://schemas.openxmlformats.org/officeDocument/2006/relationships/hyperlink" Target="https://www.irs.gov/forms-pubs/about-form-2290" TargetMode="External"/><Relationship Id="rId17" Type="http://schemas.openxmlformats.org/officeDocument/2006/relationships/hyperlink" Target="https://www.ecfr.gov/current/title-49/section-382.103" TargetMode="External"/><Relationship Id="rId18" Type="http://schemas.openxmlformats.org/officeDocument/2006/relationships/hyperlink" Target="https://www.ecfr.gov/current/title-49/section-382.701" TargetMode="External"/><Relationship Id="rId19" Type="http://schemas.openxmlformats.org/officeDocument/2006/relationships/hyperlink" Target="https://www.ecfr.gov/current/title-49/section-383.91" TargetMode="External"/><Relationship Id="rId20" Type="http://schemas.openxmlformats.org/officeDocument/2006/relationships/hyperlink" Target="https://www.ecfr.gov/current/title-49/section-391.41" TargetMode="External"/><Relationship Id="rId21" Type="http://schemas.openxmlformats.org/officeDocument/2006/relationships/hyperlink" Target="https://www.ecfr.gov/current/title-49/section-395.8" TargetMode="External"/><Relationship Id="rId22" Type="http://schemas.openxmlformats.org/officeDocument/2006/relationships/hyperlink" Target="https://www.ecfr.gov/current/title-49/section-395.3" TargetMode="External"/><Relationship Id="rId23" Type="http://schemas.openxmlformats.org/officeDocument/2006/relationships/hyperlink" Target="https://www.ecfr.gov/current/title-49/section-385.307" TargetMode="External"/><Relationship Id="rId24" Type="http://schemas.openxmlformats.org/officeDocument/2006/relationships/hyperlink" Target="https://www.irs.gov/taxtopics/tc751" TargetMode="External"/><Relationship Id="rId25" Type="http://schemas.openxmlformats.org/officeDocument/2006/relationships/hyperlink" Target="https://www.irs.gov/businesses/small-businesses-self-employed/self-employment-tax-social-security-and-medicare-taxes" TargetMode="External"/><Relationship Id="rId26" Type="http://schemas.openxmlformats.org/officeDocument/2006/relationships/hyperlink" Target="https://www.irs.gov/publications/p946" TargetMode="External"/><Relationship Id="rId27" Type="http://schemas.openxmlformats.org/officeDocument/2006/relationships/hyperlink" Target="https://www.sba.gov/funding-programs/loans/7a-loans" TargetMode="External"/><Relationship Id="rId28" Type="http://schemas.openxmlformats.org/officeDocument/2006/relationships/hyperlink" Target="https://www.sba.gov/business-guide/plan-your-business/write-your-business-plan" TargetMode="External"/><Relationship Id="rId29" Type="http://schemas.openxmlformats.org/officeDocument/2006/relationships/hyperlink" Target="https://www.eia.gov/petroleum/gasdiesel/" TargetMode="External"/><Relationship Id="rId30" Type="http://schemas.openxmlformats.org/officeDocument/2006/relationships/hyperlink" Target="https://truckingresearch.org/about-atri/atri-research/operational-costs-of-trucking/" TargetMode="External"/><Relationship Id="rId31" Type="http://schemas.openxmlformats.org/officeDocument/2006/relationships/hyperlink" Target="https://www.fmcsa.dot.gov/registration" TargetMode="External"/><Relationship Id="rId32" Type="http://schemas.openxmlformats.org/officeDocument/2006/relationships/hyperlink" Target="https://www.ucr.gov/" TargetMode="External"/><Relationship Id="rId33" Type="http://schemas.openxmlformats.org/officeDocument/2006/relationships/hyperlink" Target="https://www.irponline.org/" TargetMode="External"/><Relationship Id="rId34" Type="http://schemas.openxmlformats.org/officeDocument/2006/relationships/hyperlink" Target="https://www.iftach.org/" TargetMode="External"/><Relationship Id="rId35" Type="http://schemas.openxmlformats.org/officeDocument/2006/relationships/hyperlink" Target="https://clearinghouse.fmcsa.dot.gov/"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3" min="3" style="0" width="110"/>
  </cols>
  <sheetData>
    <row r="1" customFormat="false" ht="17.35" hidden="false" customHeight="false" outlineLevel="0" collapsed="false">
      <c r="B1" s="1" t="s">
        <v>0</v>
      </c>
    </row>
    <row r="2" customFormat="false" ht="15" hidden="false" customHeight="false" outlineLevel="0" collapsed="false">
      <c r="B2" s="2" t="s">
        <v>1</v>
      </c>
    </row>
    <row r="4" customFormat="false" ht="42" hidden="false" customHeight="true" outlineLevel="0" collapsed="false">
      <c r="B4" s="3" t="s">
        <v>2</v>
      </c>
      <c r="C4" s="4" t="s">
        <v>3</v>
      </c>
    </row>
    <row r="5" customFormat="false" ht="30" hidden="false" customHeight="true" outlineLevel="0" collapsed="false">
      <c r="B5" s="3" t="s">
        <v>4</v>
      </c>
      <c r="C5" s="5" t="s">
        <v>5</v>
      </c>
    </row>
    <row r="7" customFormat="false" ht="15" hidden="false" customHeight="false" outlineLevel="0" collapsed="false">
      <c r="B7" s="6" t="s">
        <v>6</v>
      </c>
      <c r="C7" s="7"/>
    </row>
    <row r="8" customFormat="false" ht="15" hidden="false" customHeight="false" outlineLevel="0" collapsed="false">
      <c r="B8" s="3" t="s">
        <v>7</v>
      </c>
      <c r="C8" s="8" t="s">
        <v>8</v>
      </c>
    </row>
    <row r="9" customFormat="false" ht="15" hidden="false" customHeight="false" outlineLevel="0" collapsed="false">
      <c r="B9" s="3" t="s">
        <v>9</v>
      </c>
      <c r="C9" s="8" t="s">
        <v>10</v>
      </c>
    </row>
    <row r="10" customFormat="false" ht="15" hidden="false" customHeight="false" outlineLevel="0" collapsed="false">
      <c r="B10" s="3" t="s">
        <v>11</v>
      </c>
      <c r="C10" s="8" t="s">
        <v>12</v>
      </c>
    </row>
    <row r="11" customFormat="false" ht="15" hidden="false" customHeight="false" outlineLevel="0" collapsed="false">
      <c r="B11" s="3" t="s">
        <v>13</v>
      </c>
      <c r="C11" s="8" t="s">
        <v>14</v>
      </c>
    </row>
    <row r="12" customFormat="false" ht="15" hidden="false" customHeight="false" outlineLevel="0" collapsed="false">
      <c r="B12" s="3" t="s">
        <v>15</v>
      </c>
      <c r="C12" s="8" t="s">
        <v>16</v>
      </c>
    </row>
    <row r="13" customFormat="false" ht="15" hidden="false" customHeight="false" outlineLevel="0" collapsed="false">
      <c r="B13" s="3" t="s">
        <v>17</v>
      </c>
      <c r="C13" s="8" t="s">
        <v>18</v>
      </c>
    </row>
    <row r="14" customFormat="false" ht="15" hidden="false" customHeight="false" outlineLevel="0" collapsed="false">
      <c r="B14" s="3" t="s">
        <v>19</v>
      </c>
      <c r="C14" s="8" t="s">
        <v>20</v>
      </c>
    </row>
    <row r="15" customFormat="false" ht="15" hidden="false" customHeight="false" outlineLevel="0" collapsed="false">
      <c r="B15" s="3" t="s">
        <v>21</v>
      </c>
      <c r="C15" s="8" t="s">
        <v>22</v>
      </c>
    </row>
    <row r="17" customFormat="false" ht="15" hidden="false" customHeight="false" outlineLevel="0" collapsed="false">
      <c r="B17" s="6" t="s">
        <v>23</v>
      </c>
      <c r="C17" s="7"/>
    </row>
    <row r="18" customFormat="false" ht="15" hidden="false" customHeight="false" outlineLevel="0" collapsed="false">
      <c r="B18" s="9" t="s">
        <v>24</v>
      </c>
      <c r="C18" s="10" t="s">
        <v>25</v>
      </c>
    </row>
    <row r="19" customFormat="false" ht="15" hidden="false" customHeight="false" outlineLevel="0" collapsed="false">
      <c r="B19" s="10" t="s">
        <v>24</v>
      </c>
      <c r="C19" s="10" t="s">
        <v>26</v>
      </c>
    </row>
    <row r="20" customFormat="false" ht="15" hidden="false" customHeight="false" outlineLevel="0" collapsed="false">
      <c r="B20" s="11" t="s">
        <v>24</v>
      </c>
      <c r="C20" s="10" t="s">
        <v>27</v>
      </c>
    </row>
    <row r="22" customFormat="false" ht="15" hidden="false" customHeight="false" outlineLevel="0" collapsed="false">
      <c r="B22" s="6" t="s">
        <v>28</v>
      </c>
      <c r="C22" s="7"/>
    </row>
    <row r="23" customFormat="false" ht="15" hidden="false" customHeight="false" outlineLevel="0" collapsed="false">
      <c r="B23" s="3" t="s">
        <v>29</v>
      </c>
      <c r="C23" s="8" t="s">
        <v>30</v>
      </c>
    </row>
    <row r="24" customFormat="false" ht="15" hidden="false" customHeight="false" outlineLevel="0" collapsed="false">
      <c r="B24" s="3" t="s">
        <v>31</v>
      </c>
      <c r="C24" s="8" t="s">
        <v>32</v>
      </c>
    </row>
    <row r="25" customFormat="false" ht="15" hidden="false" customHeight="false" outlineLevel="0" collapsed="false">
      <c r="B25" s="3" t="s">
        <v>33</v>
      </c>
      <c r="C25" s="8" t="s">
        <v>34</v>
      </c>
    </row>
    <row r="26" customFormat="false" ht="23.85" hidden="false" customHeight="false" outlineLevel="0" collapsed="false">
      <c r="B26" s="3" t="s">
        <v>35</v>
      </c>
      <c r="C26" s="8" t="s">
        <v>36</v>
      </c>
    </row>
    <row r="27" customFormat="false" ht="15" hidden="false" customHeight="false" outlineLevel="0" collapsed="false">
      <c r="B27" s="3" t="s">
        <v>37</v>
      </c>
      <c r="C27" s="8" t="s">
        <v>38</v>
      </c>
    </row>
    <row r="28" customFormat="false" ht="15" hidden="false" customHeight="false" outlineLevel="0" collapsed="false">
      <c r="B28" s="3" t="s">
        <v>39</v>
      </c>
      <c r="C28" s="8" t="s">
        <v>40</v>
      </c>
    </row>
    <row r="29" customFormat="false" ht="15" hidden="false" customHeight="false" outlineLevel="0" collapsed="false">
      <c r="B29" s="3" t="s">
        <v>41</v>
      </c>
      <c r="C29" s="8" t="s">
        <v>42</v>
      </c>
    </row>
    <row r="30" customFormat="false" ht="15" hidden="false" customHeight="false" outlineLevel="0" collapsed="false">
      <c r="B30" s="3" t="s">
        <v>43</v>
      </c>
      <c r="C30" s="8" t="s">
        <v>44</v>
      </c>
    </row>
    <row r="31" customFormat="false" ht="15" hidden="false" customHeight="false" outlineLevel="0" collapsed="false">
      <c r="B31" s="3" t="s">
        <v>45</v>
      </c>
      <c r="C31" s="8" t="s">
        <v>46</v>
      </c>
    </row>
    <row r="32" customFormat="false" ht="15" hidden="false" customHeight="false" outlineLevel="0" collapsed="false">
      <c r="B32" s="3" t="s">
        <v>47</v>
      </c>
      <c r="C32" s="8" t="s">
        <v>48</v>
      </c>
    </row>
    <row r="33" customFormat="false" ht="15" hidden="false" customHeight="false" outlineLevel="0" collapsed="false">
      <c r="B33" s="3" t="s">
        <v>49</v>
      </c>
      <c r="C33" s="8" t="s">
        <v>50</v>
      </c>
    </row>
    <row r="34" customFormat="false" ht="15" hidden="false" customHeight="false" outlineLevel="0" collapsed="false">
      <c r="B34" s="3" t="s">
        <v>51</v>
      </c>
      <c r="C34" s="8" t="s">
        <v>52</v>
      </c>
    </row>
    <row r="35" customFormat="false" ht="15" hidden="false" customHeight="false" outlineLevel="0" collapsed="false">
      <c r="B35" s="3" t="s">
        <v>53</v>
      </c>
      <c r="C35" s="8" t="s">
        <v>54</v>
      </c>
    </row>
    <row r="36" customFormat="false" ht="15" hidden="false" customHeight="false" outlineLevel="0" collapsed="false">
      <c r="B36" s="3" t="s">
        <v>55</v>
      </c>
      <c r="C36" s="8" t="s">
        <v>56</v>
      </c>
    </row>
    <row r="38" customFormat="false" ht="15" hidden="false" customHeight="false" outlineLevel="0" collapsed="false">
      <c r="B38" s="6" t="s">
        <v>57</v>
      </c>
      <c r="C38" s="7"/>
    </row>
    <row r="39" customFormat="false" ht="15" hidden="false" customHeight="false" outlineLevel="0" collapsed="false">
      <c r="B39" s="3" t="s">
        <v>58</v>
      </c>
      <c r="C39" s="12" t="n">
        <f aca="false">'P&amp;L'!AM7</f>
        <v>262185</v>
      </c>
    </row>
    <row r="40" customFormat="false" ht="15" hidden="false" customHeight="false" outlineLevel="0" collapsed="false">
      <c r="B40" s="3" t="s">
        <v>59</v>
      </c>
      <c r="C40" s="13" t="n">
        <f aca="false">'Cost per Mile'!C24</f>
        <v>1.68549085314549</v>
      </c>
    </row>
    <row r="41" customFormat="false" ht="15" hidden="false" customHeight="false" outlineLevel="0" collapsed="false">
      <c r="B41" s="3" t="s">
        <v>60</v>
      </c>
      <c r="C41" s="13" t="n">
        <f aca="false">'Break-Even'!C18</f>
        <v>1.91533051493806</v>
      </c>
    </row>
    <row r="42" customFormat="false" ht="15" hidden="false" customHeight="false" outlineLevel="0" collapsed="false">
      <c r="B42" s="3" t="s">
        <v>61</v>
      </c>
      <c r="C42" s="13" t="n">
        <f aca="false">'Break-Even'!D18</f>
        <v>2.41542513136723</v>
      </c>
    </row>
    <row r="43" customFormat="false" ht="15" hidden="false" customHeight="false" outlineLevel="0" collapsed="false">
      <c r="B43" s="3" t="s">
        <v>62</v>
      </c>
      <c r="C43" s="13" t="n">
        <f aca="false">Assumptions!$C$24</f>
        <v>2.5</v>
      </c>
    </row>
    <row r="44" customFormat="false" ht="15" hidden="false" customHeight="false" outlineLevel="0" collapsed="false">
      <c r="B44" s="3" t="s">
        <v>63</v>
      </c>
      <c r="C44" s="14" t="n">
        <f aca="false">'Key Ratios'!C16</f>
        <v>1.30954937143402</v>
      </c>
    </row>
    <row r="45" customFormat="false" ht="15" hidden="false" customHeight="false" outlineLevel="0" collapsed="false">
      <c r="B45" s="3" t="s">
        <v>64</v>
      </c>
      <c r="C45" s="12" t="n">
        <f aca="false">'Key Ratios'!C18</f>
        <v>4415.67619324839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1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20"/>
    <col collapsed="false" customWidth="true" hidden="false" outlineLevel="0" max="4" min="4" style="0" width="12"/>
    <col collapsed="false" customWidth="true" hidden="false" outlineLevel="0" max="5" min="5" style="0" width="92"/>
  </cols>
  <sheetData>
    <row r="1" customFormat="false" ht="17.35" hidden="false" customHeight="false" outlineLevel="0" collapsed="false">
      <c r="B1" s="1" t="s">
        <v>65</v>
      </c>
    </row>
    <row r="2" customFormat="false" ht="15" hidden="false" customHeight="false" outlineLevel="0" collapsed="false">
      <c r="B2" s="2" t="s">
        <v>66</v>
      </c>
    </row>
    <row r="3" customFormat="false" ht="15" hidden="false" customHeight="false" outlineLevel="0" collapsed="false">
      <c r="B3" s="9" t="s">
        <v>67</v>
      </c>
      <c r="C3" s="2" t="s">
        <v>68</v>
      </c>
    </row>
    <row r="5" customFormat="false" ht="15" hidden="false" customHeight="false" outlineLevel="0" collapsed="false">
      <c r="B5" s="6" t="s">
        <v>69</v>
      </c>
      <c r="C5" s="6" t="s">
        <v>70</v>
      </c>
      <c r="D5" s="6" t="s">
        <v>71</v>
      </c>
      <c r="E5" s="6" t="s">
        <v>72</v>
      </c>
    </row>
    <row r="6" customFormat="false" ht="15" hidden="false" customHeight="false" outlineLevel="0" collapsed="false">
      <c r="B6" s="10" t="s">
        <v>73</v>
      </c>
      <c r="C6" s="15" t="s">
        <v>74</v>
      </c>
      <c r="D6" s="2"/>
      <c r="E6" s="10" t="s">
        <v>75</v>
      </c>
    </row>
    <row r="7" customFormat="false" ht="15" hidden="false" customHeight="false" outlineLevel="0" collapsed="false">
      <c r="B7" s="10" t="s">
        <v>76</v>
      </c>
      <c r="C7" s="16" t="n">
        <v>46388</v>
      </c>
      <c r="D7" s="2" t="s">
        <v>77</v>
      </c>
      <c r="E7" s="10" t="s">
        <v>78</v>
      </c>
    </row>
    <row r="8" customFormat="false" ht="15" hidden="false" customHeight="false" outlineLevel="0" collapsed="false">
      <c r="B8" s="10" t="s">
        <v>79</v>
      </c>
      <c r="C8" s="17" t="n">
        <v>1</v>
      </c>
      <c r="D8" s="2" t="s">
        <v>80</v>
      </c>
      <c r="E8" s="10" t="s">
        <v>81</v>
      </c>
    </row>
    <row r="9" customFormat="false" ht="15" hidden="false" customHeight="false" outlineLevel="0" collapsed="false">
      <c r="B9" s="10" t="s">
        <v>82</v>
      </c>
      <c r="C9" s="18" t="n">
        <v>0.25</v>
      </c>
      <c r="D9" s="2" t="s">
        <v>83</v>
      </c>
      <c r="E9" s="10" t="s">
        <v>84</v>
      </c>
    </row>
    <row r="10" customFormat="false" ht="15" hidden="false" customHeight="false" outlineLevel="0" collapsed="false">
      <c r="B10" s="10" t="s">
        <v>85</v>
      </c>
      <c r="C10" s="17" t="n">
        <v>1</v>
      </c>
      <c r="D10" s="2" t="s">
        <v>86</v>
      </c>
      <c r="E10" s="10" t="s">
        <v>87</v>
      </c>
    </row>
    <row r="12" customFormat="false" ht="15" hidden="false" customHeight="false" outlineLevel="0" collapsed="false">
      <c r="B12" s="6" t="s">
        <v>88</v>
      </c>
      <c r="C12" s="6" t="s">
        <v>70</v>
      </c>
      <c r="D12" s="6" t="s">
        <v>71</v>
      </c>
      <c r="E12" s="6" t="s">
        <v>72</v>
      </c>
    </row>
    <row r="13" customFormat="false" ht="15" hidden="false" customHeight="false" outlineLevel="0" collapsed="false">
      <c r="B13" s="10" t="s">
        <v>89</v>
      </c>
      <c r="C13" s="15" t="s">
        <v>90</v>
      </c>
      <c r="D13" s="2"/>
      <c r="E13" s="2" t="s">
        <v>91</v>
      </c>
    </row>
    <row r="14" customFormat="false" ht="15" hidden="false" customHeight="false" outlineLevel="0" collapsed="false">
      <c r="B14" s="10" t="s">
        <v>92</v>
      </c>
      <c r="C14" s="19" t="n">
        <v>52000</v>
      </c>
      <c r="D14" s="2" t="s">
        <v>93</v>
      </c>
      <c r="E14" s="10" t="s">
        <v>94</v>
      </c>
    </row>
    <row r="15" customFormat="false" ht="15" hidden="false" customHeight="false" outlineLevel="0" collapsed="false">
      <c r="B15" s="10" t="s">
        <v>95</v>
      </c>
      <c r="C15" s="19" t="n">
        <v>68000</v>
      </c>
      <c r="D15" s="2" t="s">
        <v>93</v>
      </c>
      <c r="E15" s="10" t="s">
        <v>96</v>
      </c>
    </row>
    <row r="16" customFormat="false" ht="15" hidden="false" customHeight="false" outlineLevel="0" collapsed="false">
      <c r="B16" s="10" t="s">
        <v>97</v>
      </c>
      <c r="C16" s="19" t="n">
        <v>80000</v>
      </c>
      <c r="D16" s="2" t="s">
        <v>93</v>
      </c>
      <c r="E16" s="2" t="s">
        <v>91</v>
      </c>
    </row>
    <row r="17" customFormat="false" ht="15" hidden="false" customHeight="false" outlineLevel="0" collapsed="false">
      <c r="B17" s="10" t="s">
        <v>98</v>
      </c>
      <c r="C17" s="19" t="n">
        <v>80000</v>
      </c>
      <c r="D17" s="2" t="s">
        <v>93</v>
      </c>
      <c r="E17" s="10" t="s">
        <v>99</v>
      </c>
    </row>
    <row r="19" customFormat="false" ht="15" hidden="false" customHeight="false" outlineLevel="0" collapsed="false">
      <c r="B19" s="6" t="s">
        <v>100</v>
      </c>
      <c r="C19" s="6" t="s">
        <v>70</v>
      </c>
      <c r="D19" s="6" t="s">
        <v>71</v>
      </c>
      <c r="E19" s="6" t="s">
        <v>72</v>
      </c>
    </row>
    <row r="20" customFormat="false" ht="15" hidden="false" customHeight="false" outlineLevel="0" collapsed="false">
      <c r="B20" s="10" t="s">
        <v>101</v>
      </c>
      <c r="C20" s="20" t="n">
        <v>21</v>
      </c>
      <c r="D20" s="2" t="s">
        <v>102</v>
      </c>
      <c r="E20" s="2" t="s">
        <v>91</v>
      </c>
    </row>
    <row r="21" customFormat="false" ht="15" hidden="false" customHeight="false" outlineLevel="0" collapsed="false">
      <c r="B21" s="10" t="s">
        <v>103</v>
      </c>
      <c r="C21" s="20" t="n">
        <v>500</v>
      </c>
      <c r="D21" s="2" t="s">
        <v>104</v>
      </c>
      <c r="E21" s="10" t="s">
        <v>105</v>
      </c>
    </row>
    <row r="22" customFormat="false" ht="15" hidden="false" customHeight="false" outlineLevel="0" collapsed="false">
      <c r="B22" s="10" t="s">
        <v>106</v>
      </c>
      <c r="C22" s="20" t="n">
        <v>50</v>
      </c>
      <c r="D22" s="2" t="s">
        <v>107</v>
      </c>
      <c r="E22" s="2" t="s">
        <v>91</v>
      </c>
    </row>
    <row r="23" customFormat="false" ht="15" hidden="false" customHeight="false" outlineLevel="0" collapsed="false">
      <c r="B23" s="10" t="s">
        <v>108</v>
      </c>
      <c r="C23" s="18" t="n">
        <v>0.12</v>
      </c>
      <c r="D23" s="2" t="s">
        <v>83</v>
      </c>
      <c r="E23" s="10" t="s">
        <v>109</v>
      </c>
    </row>
    <row r="24" customFormat="false" ht="15" hidden="false" customHeight="false" outlineLevel="0" collapsed="false">
      <c r="B24" s="10" t="s">
        <v>110</v>
      </c>
      <c r="C24" s="21" t="n">
        <v>2.5</v>
      </c>
      <c r="D24" s="2" t="s">
        <v>111</v>
      </c>
      <c r="E24" s="10" t="s">
        <v>112</v>
      </c>
    </row>
    <row r="25" customFormat="false" ht="15" hidden="false" customHeight="false" outlineLevel="0" collapsed="false">
      <c r="B25" s="10" t="s">
        <v>113</v>
      </c>
      <c r="C25" s="21" t="n">
        <v>0</v>
      </c>
      <c r="D25" s="2" t="s">
        <v>111</v>
      </c>
      <c r="E25" s="10" t="s">
        <v>114</v>
      </c>
    </row>
    <row r="26" customFormat="false" ht="15" hidden="false" customHeight="false" outlineLevel="0" collapsed="false">
      <c r="B26" s="10" t="s">
        <v>115</v>
      </c>
      <c r="C26" s="18" t="n">
        <v>0.02</v>
      </c>
      <c r="D26" s="2" t="s">
        <v>83</v>
      </c>
      <c r="E26" s="2" t="s">
        <v>91</v>
      </c>
    </row>
    <row r="27" customFormat="false" ht="15" hidden="false" customHeight="false" outlineLevel="0" collapsed="false">
      <c r="B27" s="10" t="s">
        <v>116</v>
      </c>
      <c r="C27" s="18" t="n">
        <v>0.02</v>
      </c>
      <c r="D27" s="2" t="s">
        <v>83</v>
      </c>
      <c r="E27" s="2" t="s">
        <v>91</v>
      </c>
    </row>
    <row r="28" customFormat="false" ht="15" hidden="false" customHeight="false" outlineLevel="0" collapsed="false">
      <c r="B28" s="10" t="s">
        <v>117</v>
      </c>
      <c r="C28" s="18" t="n">
        <v>0.6</v>
      </c>
      <c r="D28" s="2" t="s">
        <v>83</v>
      </c>
      <c r="E28" s="10" t="s">
        <v>118</v>
      </c>
    </row>
    <row r="29" customFormat="false" ht="15" hidden="false" customHeight="false" outlineLevel="0" collapsed="false">
      <c r="B29" s="10" t="s">
        <v>119</v>
      </c>
      <c r="C29" s="18" t="n">
        <v>0.8</v>
      </c>
      <c r="D29" s="2" t="s">
        <v>83</v>
      </c>
      <c r="E29" s="2" t="s">
        <v>91</v>
      </c>
    </row>
    <row r="30" customFormat="false" ht="15" hidden="false" customHeight="false" outlineLevel="0" collapsed="false">
      <c r="B30" s="10" t="s">
        <v>120</v>
      </c>
      <c r="C30" s="18" t="n">
        <v>0.95</v>
      </c>
      <c r="D30" s="2" t="s">
        <v>83</v>
      </c>
      <c r="E30" s="2" t="s">
        <v>91</v>
      </c>
    </row>
    <row r="31" customFormat="false" ht="15" hidden="false" customHeight="false" outlineLevel="0" collapsed="false">
      <c r="B31" s="10" t="s">
        <v>121</v>
      </c>
      <c r="C31" s="17" t="n">
        <v>1</v>
      </c>
      <c r="D31" s="2" t="s">
        <v>122</v>
      </c>
      <c r="E31" s="10" t="s">
        <v>123</v>
      </c>
    </row>
    <row r="32" customFormat="false" ht="15" hidden="false" customHeight="false" outlineLevel="0" collapsed="false">
      <c r="B32" s="10" t="s">
        <v>124</v>
      </c>
      <c r="C32" s="17" t="n">
        <v>0</v>
      </c>
      <c r="D32" s="2" t="s">
        <v>86</v>
      </c>
      <c r="E32" s="2" t="s">
        <v>91</v>
      </c>
    </row>
    <row r="33" customFormat="false" ht="15" hidden="false" customHeight="false" outlineLevel="0" collapsed="false">
      <c r="B33" s="10" t="s">
        <v>125</v>
      </c>
      <c r="C33" s="18" t="n">
        <v>0.03</v>
      </c>
      <c r="D33" s="2" t="s">
        <v>83</v>
      </c>
      <c r="E33" s="10" t="s">
        <v>126</v>
      </c>
    </row>
    <row r="34" customFormat="false" ht="15" hidden="false" customHeight="false" outlineLevel="0" collapsed="false">
      <c r="B34" s="10" t="s">
        <v>127</v>
      </c>
      <c r="C34" s="18" t="n">
        <v>0</v>
      </c>
      <c r="D34" s="2" t="s">
        <v>83</v>
      </c>
      <c r="E34" s="2" t="s">
        <v>91</v>
      </c>
    </row>
    <row r="36" customFormat="false" ht="15" hidden="false" customHeight="false" outlineLevel="0" collapsed="false">
      <c r="B36" s="6" t="s">
        <v>128</v>
      </c>
      <c r="C36" s="6" t="s">
        <v>70</v>
      </c>
      <c r="D36" s="6" t="s">
        <v>71</v>
      </c>
      <c r="E36" s="6" t="s">
        <v>72</v>
      </c>
    </row>
    <row r="37" customFormat="false" ht="15" hidden="false" customHeight="false" outlineLevel="0" collapsed="false">
      <c r="B37" s="10" t="s">
        <v>129</v>
      </c>
      <c r="C37" s="22" t="n">
        <v>6.5</v>
      </c>
      <c r="D37" s="2" t="s">
        <v>130</v>
      </c>
      <c r="E37" s="10" t="s">
        <v>131</v>
      </c>
    </row>
    <row r="38" customFormat="false" ht="15" hidden="false" customHeight="false" outlineLevel="0" collapsed="false">
      <c r="B38" s="10" t="s">
        <v>132</v>
      </c>
      <c r="C38" s="21" t="n">
        <v>6</v>
      </c>
      <c r="D38" s="2" t="s">
        <v>133</v>
      </c>
      <c r="E38" s="10" t="s">
        <v>134</v>
      </c>
    </row>
    <row r="39" customFormat="false" ht="15" hidden="false" customHeight="false" outlineLevel="0" collapsed="false">
      <c r="B39" s="10" t="s">
        <v>135</v>
      </c>
      <c r="C39" s="18" t="n">
        <v>0</v>
      </c>
      <c r="D39" s="2" t="s">
        <v>83</v>
      </c>
      <c r="E39" s="2" t="s">
        <v>91</v>
      </c>
    </row>
    <row r="41" customFormat="false" ht="15" hidden="false" customHeight="false" outlineLevel="0" collapsed="false">
      <c r="B41" s="6" t="s">
        <v>136</v>
      </c>
      <c r="C41" s="6" t="s">
        <v>70</v>
      </c>
      <c r="D41" s="6" t="s">
        <v>71</v>
      </c>
      <c r="E41" s="6" t="s">
        <v>72</v>
      </c>
    </row>
    <row r="42" customFormat="false" ht="15" hidden="false" customHeight="false" outlineLevel="0" collapsed="false">
      <c r="B42" s="10" t="s">
        <v>137</v>
      </c>
      <c r="C42" s="23" t="n">
        <v>0.2</v>
      </c>
      <c r="D42" s="2" t="s">
        <v>111</v>
      </c>
      <c r="E42" s="10" t="s">
        <v>138</v>
      </c>
    </row>
    <row r="43" customFormat="false" ht="15" hidden="false" customHeight="false" outlineLevel="0" collapsed="false">
      <c r="B43" s="10" t="s">
        <v>139</v>
      </c>
      <c r="C43" s="23" t="n">
        <v>0.05</v>
      </c>
      <c r="D43" s="2" t="s">
        <v>111</v>
      </c>
      <c r="E43" s="2" t="s">
        <v>91</v>
      </c>
    </row>
    <row r="44" customFormat="false" ht="15" hidden="false" customHeight="false" outlineLevel="0" collapsed="false">
      <c r="B44" s="10" t="s">
        <v>140</v>
      </c>
      <c r="C44" s="23" t="n">
        <v>0.03</v>
      </c>
      <c r="D44" s="2" t="s">
        <v>111</v>
      </c>
      <c r="E44" s="2" t="s">
        <v>91</v>
      </c>
    </row>
    <row r="45" customFormat="false" ht="15" hidden="false" customHeight="false" outlineLevel="0" collapsed="false">
      <c r="B45" s="10" t="s">
        <v>141</v>
      </c>
      <c r="C45" s="23" t="n">
        <v>0</v>
      </c>
      <c r="D45" s="2" t="s">
        <v>111</v>
      </c>
      <c r="E45" s="10" t="s">
        <v>142</v>
      </c>
    </row>
    <row r="46" customFormat="false" ht="15" hidden="false" customHeight="false" outlineLevel="0" collapsed="false">
      <c r="B46" s="10" t="s">
        <v>143</v>
      </c>
      <c r="C46" s="23" t="n">
        <v>0</v>
      </c>
      <c r="D46" s="2" t="s">
        <v>111</v>
      </c>
      <c r="E46" s="10" t="s">
        <v>144</v>
      </c>
    </row>
    <row r="47" customFormat="false" ht="15" hidden="false" customHeight="false" outlineLevel="0" collapsed="false">
      <c r="B47" s="10" t="s">
        <v>145</v>
      </c>
      <c r="C47" s="18" t="n">
        <v>0.03</v>
      </c>
      <c r="D47" s="2" t="s">
        <v>83</v>
      </c>
      <c r="E47" s="2" t="s">
        <v>91</v>
      </c>
    </row>
    <row r="49" customFormat="false" ht="15" hidden="false" customHeight="false" outlineLevel="0" collapsed="false">
      <c r="B49" s="6" t="s">
        <v>146</v>
      </c>
      <c r="C49" s="6" t="s">
        <v>70</v>
      </c>
      <c r="D49" s="6" t="s">
        <v>71</v>
      </c>
      <c r="E49" s="6" t="s">
        <v>72</v>
      </c>
    </row>
    <row r="50" customFormat="false" ht="15" hidden="false" customHeight="false" outlineLevel="0" collapsed="false">
      <c r="B50" s="10" t="s">
        <v>147</v>
      </c>
      <c r="C50" s="24" t="n">
        <v>11000</v>
      </c>
      <c r="D50" s="2" t="s">
        <v>148</v>
      </c>
      <c r="E50" s="10" t="s">
        <v>149</v>
      </c>
    </row>
    <row r="51" customFormat="false" ht="15" hidden="false" customHeight="false" outlineLevel="0" collapsed="false">
      <c r="B51" s="10" t="s">
        <v>150</v>
      </c>
      <c r="C51" s="24" t="n">
        <v>5000</v>
      </c>
      <c r="D51" s="2" t="s">
        <v>148</v>
      </c>
      <c r="E51" s="10" t="s">
        <v>151</v>
      </c>
    </row>
    <row r="52" customFormat="false" ht="15" hidden="false" customHeight="false" outlineLevel="0" collapsed="false">
      <c r="B52" s="10" t="s">
        <v>152</v>
      </c>
      <c r="C52" s="18" t="n">
        <v>0.2</v>
      </c>
      <c r="D52" s="2" t="s">
        <v>83</v>
      </c>
      <c r="E52" s="10" t="s">
        <v>153</v>
      </c>
    </row>
    <row r="53" customFormat="false" ht="15" hidden="false" customHeight="false" outlineLevel="0" collapsed="false">
      <c r="B53" s="10" t="s">
        <v>154</v>
      </c>
      <c r="C53" s="24" t="n">
        <v>40</v>
      </c>
      <c r="D53" s="2" t="s">
        <v>155</v>
      </c>
      <c r="E53" s="10" t="s">
        <v>156</v>
      </c>
    </row>
    <row r="54" customFormat="false" ht="15" hidden="false" customHeight="false" outlineLevel="0" collapsed="false">
      <c r="B54" s="10" t="s">
        <v>157</v>
      </c>
      <c r="C54" s="24" t="n">
        <v>400</v>
      </c>
      <c r="D54" s="2" t="s">
        <v>155</v>
      </c>
      <c r="E54" s="2" t="s">
        <v>91</v>
      </c>
    </row>
    <row r="55" customFormat="false" ht="15" hidden="false" customHeight="false" outlineLevel="0" collapsed="false">
      <c r="B55" s="10" t="s">
        <v>158</v>
      </c>
      <c r="C55" s="24" t="n">
        <v>150</v>
      </c>
      <c r="D55" s="2" t="s">
        <v>155</v>
      </c>
      <c r="E55" s="2" t="s">
        <v>91</v>
      </c>
    </row>
    <row r="56" customFormat="false" ht="15" hidden="false" customHeight="false" outlineLevel="0" collapsed="false">
      <c r="B56" s="10" t="s">
        <v>159</v>
      </c>
      <c r="C56" s="24" t="n">
        <v>100</v>
      </c>
      <c r="D56" s="2" t="s">
        <v>155</v>
      </c>
      <c r="E56" s="2" t="s">
        <v>91</v>
      </c>
    </row>
    <row r="58" customFormat="false" ht="15" hidden="false" customHeight="false" outlineLevel="0" collapsed="false">
      <c r="B58" s="6" t="s">
        <v>160</v>
      </c>
      <c r="C58" s="6" t="s">
        <v>70</v>
      </c>
      <c r="D58" s="6" t="s">
        <v>71</v>
      </c>
      <c r="E58" s="6" t="s">
        <v>72</v>
      </c>
    </row>
    <row r="59" customFormat="false" ht="15" hidden="false" customHeight="false" outlineLevel="0" collapsed="false">
      <c r="B59" s="2" t="s">
        <v>161</v>
      </c>
    </row>
    <row r="60" customFormat="false" ht="15" hidden="false" customHeight="false" outlineLevel="0" collapsed="false">
      <c r="B60" s="10" t="s">
        <v>162</v>
      </c>
      <c r="C60" s="15" t="s">
        <v>163</v>
      </c>
      <c r="D60" s="2" t="s">
        <v>164</v>
      </c>
      <c r="E60" s="10" t="s">
        <v>165</v>
      </c>
    </row>
    <row r="61" customFormat="false" ht="15" hidden="false" customHeight="false" outlineLevel="0" collapsed="false">
      <c r="B61" s="10" t="s">
        <v>166</v>
      </c>
      <c r="C61" s="24" t="n">
        <v>0</v>
      </c>
      <c r="D61" s="2" t="s">
        <v>167</v>
      </c>
      <c r="E61" s="10" t="s">
        <v>168</v>
      </c>
    </row>
    <row r="62" customFormat="false" ht="15" hidden="false" customHeight="false" outlineLevel="0" collapsed="false">
      <c r="B62" s="10" t="s">
        <v>169</v>
      </c>
      <c r="C62" s="15" t="s">
        <v>163</v>
      </c>
      <c r="D62" s="2" t="s">
        <v>164</v>
      </c>
      <c r="E62" s="10" t="s">
        <v>170</v>
      </c>
    </row>
    <row r="63" customFormat="false" ht="15" hidden="false" customHeight="false" outlineLevel="0" collapsed="false">
      <c r="B63" s="10" t="s">
        <v>171</v>
      </c>
      <c r="C63" s="24" t="n">
        <v>300</v>
      </c>
      <c r="D63" s="2" t="s">
        <v>167</v>
      </c>
      <c r="E63" s="10" t="s">
        <v>172</v>
      </c>
    </row>
    <row r="64" customFormat="false" ht="15" hidden="false" customHeight="false" outlineLevel="0" collapsed="false">
      <c r="B64" s="10" t="s">
        <v>173</v>
      </c>
      <c r="C64" s="15" t="s">
        <v>163</v>
      </c>
      <c r="D64" s="2" t="s">
        <v>164</v>
      </c>
      <c r="E64" s="10" t="s">
        <v>174</v>
      </c>
    </row>
    <row r="65" customFormat="false" ht="15" hidden="false" customHeight="false" outlineLevel="0" collapsed="false">
      <c r="B65" s="10" t="s">
        <v>175</v>
      </c>
      <c r="C65" s="24" t="n">
        <v>50</v>
      </c>
      <c r="D65" s="2" t="s">
        <v>167</v>
      </c>
      <c r="E65" s="10" t="s">
        <v>176</v>
      </c>
    </row>
    <row r="66" customFormat="false" ht="15" hidden="false" customHeight="false" outlineLevel="0" collapsed="false">
      <c r="B66" s="10" t="s">
        <v>177</v>
      </c>
      <c r="C66" s="15" t="s">
        <v>163</v>
      </c>
      <c r="D66" s="2" t="s">
        <v>164</v>
      </c>
      <c r="E66" s="10" t="s">
        <v>178</v>
      </c>
    </row>
    <row r="67" customFormat="false" ht="15" hidden="false" customHeight="false" outlineLevel="0" collapsed="false">
      <c r="B67" s="10" t="s">
        <v>179</v>
      </c>
      <c r="C67" s="24" t="n">
        <v>55</v>
      </c>
      <c r="D67" s="2" t="s">
        <v>148</v>
      </c>
      <c r="E67" s="10" t="s">
        <v>180</v>
      </c>
    </row>
    <row r="68" customFormat="false" ht="15" hidden="false" customHeight="false" outlineLevel="0" collapsed="false">
      <c r="B68" s="10" t="s">
        <v>181</v>
      </c>
      <c r="C68" s="15" t="s">
        <v>182</v>
      </c>
      <c r="D68" s="2" t="s">
        <v>183</v>
      </c>
      <c r="E68" s="10" t="s">
        <v>184</v>
      </c>
    </row>
    <row r="69" customFormat="false" ht="15" hidden="false" customHeight="false" outlineLevel="0" collapsed="false">
      <c r="B69" s="10" t="s">
        <v>185</v>
      </c>
      <c r="C69" s="24" t="n">
        <v>2000</v>
      </c>
      <c r="D69" s="2" t="s">
        <v>148</v>
      </c>
      <c r="E69" s="10" t="s">
        <v>186</v>
      </c>
    </row>
    <row r="70" customFormat="false" ht="15" hidden="false" customHeight="false" outlineLevel="0" collapsed="false">
      <c r="B70" s="10" t="s">
        <v>187</v>
      </c>
      <c r="C70" s="15" t="s">
        <v>182</v>
      </c>
      <c r="D70" s="2" t="s">
        <v>183</v>
      </c>
      <c r="E70" s="10" t="s">
        <v>188</v>
      </c>
    </row>
    <row r="71" customFormat="false" ht="15" hidden="false" customHeight="false" outlineLevel="0" collapsed="false">
      <c r="B71" s="10" t="s">
        <v>189</v>
      </c>
      <c r="C71" s="24" t="n">
        <v>50</v>
      </c>
      <c r="D71" s="2" t="s">
        <v>148</v>
      </c>
      <c r="E71" s="10" t="s">
        <v>190</v>
      </c>
    </row>
    <row r="72" customFormat="false" ht="15" hidden="false" customHeight="false" outlineLevel="0" collapsed="false">
      <c r="B72" s="10" t="s">
        <v>191</v>
      </c>
      <c r="C72" s="15" t="s">
        <v>163</v>
      </c>
      <c r="D72" s="2" t="s">
        <v>164</v>
      </c>
      <c r="E72" s="10" t="s">
        <v>192</v>
      </c>
    </row>
    <row r="73" customFormat="false" ht="15" hidden="false" customHeight="false" outlineLevel="0" collapsed="false">
      <c r="B73" s="10" t="s">
        <v>193</v>
      </c>
      <c r="C73" s="15" t="s">
        <v>163</v>
      </c>
      <c r="D73" s="2" t="s">
        <v>164</v>
      </c>
      <c r="E73" s="10" t="s">
        <v>194</v>
      </c>
    </row>
    <row r="74" customFormat="false" ht="15" hidden="false" customHeight="false" outlineLevel="0" collapsed="false">
      <c r="B74" s="10" t="s">
        <v>195</v>
      </c>
      <c r="C74" s="24" t="n">
        <v>100</v>
      </c>
      <c r="D74" s="2" t="s">
        <v>167</v>
      </c>
      <c r="E74" s="10" t="s">
        <v>196</v>
      </c>
    </row>
    <row r="75" customFormat="false" ht="15" hidden="false" customHeight="false" outlineLevel="0" collapsed="false">
      <c r="B75" s="10" t="s">
        <v>197</v>
      </c>
      <c r="C75" s="24" t="n">
        <v>250</v>
      </c>
      <c r="D75" s="2" t="s">
        <v>148</v>
      </c>
      <c r="E75" s="10" t="s">
        <v>198</v>
      </c>
    </row>
    <row r="76" customFormat="false" ht="15" hidden="false" customHeight="false" outlineLevel="0" collapsed="false">
      <c r="B76" s="10" t="s">
        <v>199</v>
      </c>
      <c r="C76" s="15" t="s">
        <v>163</v>
      </c>
      <c r="D76" s="2" t="s">
        <v>164</v>
      </c>
      <c r="E76" s="10" t="s">
        <v>200</v>
      </c>
    </row>
    <row r="77" customFormat="false" ht="15" hidden="false" customHeight="false" outlineLevel="0" collapsed="false">
      <c r="B77" s="10" t="s">
        <v>201</v>
      </c>
      <c r="C77" s="24" t="n">
        <v>100</v>
      </c>
      <c r="D77" s="2" t="s">
        <v>148</v>
      </c>
      <c r="E77" s="10" t="s">
        <v>202</v>
      </c>
    </row>
    <row r="78" customFormat="false" ht="15" hidden="false" customHeight="false" outlineLevel="0" collapsed="false">
      <c r="B78" s="10" t="s">
        <v>203</v>
      </c>
      <c r="C78" s="15" t="s">
        <v>163</v>
      </c>
      <c r="D78" s="2" t="s">
        <v>164</v>
      </c>
      <c r="E78" s="10" t="s">
        <v>204</v>
      </c>
    </row>
    <row r="79" customFormat="false" ht="15" hidden="false" customHeight="false" outlineLevel="0" collapsed="false">
      <c r="B79" s="10" t="s">
        <v>205</v>
      </c>
      <c r="C79" s="17" t="n">
        <v>1</v>
      </c>
      <c r="D79" s="2" t="s">
        <v>86</v>
      </c>
      <c r="E79" s="10" t="s">
        <v>206</v>
      </c>
    </row>
    <row r="81" customFormat="false" ht="15" hidden="false" customHeight="false" outlineLevel="0" collapsed="false">
      <c r="B81" s="6" t="s">
        <v>207</v>
      </c>
      <c r="C81" s="6" t="s">
        <v>70</v>
      </c>
      <c r="D81" s="6" t="s">
        <v>71</v>
      </c>
      <c r="E81" s="6" t="s">
        <v>72</v>
      </c>
    </row>
    <row r="82" customFormat="false" ht="15" hidden="false" customHeight="false" outlineLevel="0" collapsed="false">
      <c r="B82" s="10" t="s">
        <v>208</v>
      </c>
      <c r="C82" s="24" t="n">
        <v>95000</v>
      </c>
      <c r="D82" s="2" t="s">
        <v>209</v>
      </c>
      <c r="E82" s="10" t="s">
        <v>210</v>
      </c>
    </row>
    <row r="83" customFormat="false" ht="15" hidden="false" customHeight="false" outlineLevel="0" collapsed="false">
      <c r="B83" s="10" t="s">
        <v>211</v>
      </c>
      <c r="C83" s="24" t="n">
        <v>35000</v>
      </c>
      <c r="D83" s="2" t="s">
        <v>209</v>
      </c>
      <c r="E83" s="10" t="s">
        <v>212</v>
      </c>
    </row>
    <row r="84" customFormat="false" ht="15" hidden="false" customHeight="false" outlineLevel="0" collapsed="false">
      <c r="B84" s="10" t="s">
        <v>213</v>
      </c>
      <c r="C84" s="18" t="n">
        <v>0.15</v>
      </c>
      <c r="D84" s="2" t="s">
        <v>83</v>
      </c>
      <c r="E84" s="10" t="s">
        <v>214</v>
      </c>
    </row>
    <row r="85" customFormat="false" ht="15" hidden="false" customHeight="false" outlineLevel="0" collapsed="false">
      <c r="B85" s="10" t="s">
        <v>215</v>
      </c>
      <c r="C85" s="18" t="n">
        <v>0.15</v>
      </c>
      <c r="D85" s="2" t="s">
        <v>83</v>
      </c>
      <c r="E85" s="2" t="s">
        <v>91</v>
      </c>
    </row>
    <row r="86" customFormat="false" ht="15" hidden="false" customHeight="false" outlineLevel="0" collapsed="false">
      <c r="B86" s="10" t="s">
        <v>216</v>
      </c>
      <c r="C86" s="25" t="n">
        <v>0.11</v>
      </c>
      <c r="D86" s="2" t="s">
        <v>83</v>
      </c>
      <c r="E86" s="10" t="s">
        <v>217</v>
      </c>
    </row>
    <row r="87" customFormat="false" ht="15" hidden="false" customHeight="false" outlineLevel="0" collapsed="false">
      <c r="B87" s="10" t="s">
        <v>218</v>
      </c>
      <c r="C87" s="20" t="n">
        <v>5</v>
      </c>
      <c r="D87" s="2" t="s">
        <v>219</v>
      </c>
      <c r="E87" s="10" t="s">
        <v>220</v>
      </c>
    </row>
    <row r="88" customFormat="false" ht="15" hidden="false" customHeight="false" outlineLevel="0" collapsed="false">
      <c r="B88" s="10" t="s">
        <v>221</v>
      </c>
      <c r="C88" s="25" t="n">
        <v>0.1</v>
      </c>
      <c r="D88" s="2" t="s">
        <v>83</v>
      </c>
      <c r="E88" s="2" t="s">
        <v>91</v>
      </c>
    </row>
    <row r="89" customFormat="false" ht="15" hidden="false" customHeight="false" outlineLevel="0" collapsed="false">
      <c r="B89" s="10" t="s">
        <v>222</v>
      </c>
      <c r="C89" s="20" t="n">
        <v>5</v>
      </c>
      <c r="D89" s="2" t="s">
        <v>219</v>
      </c>
      <c r="E89" s="10" t="s">
        <v>223</v>
      </c>
    </row>
    <row r="90" customFormat="false" ht="15" hidden="false" customHeight="false" outlineLevel="0" collapsed="false">
      <c r="B90" s="10" t="s">
        <v>224</v>
      </c>
      <c r="C90" s="20" t="n">
        <v>5</v>
      </c>
      <c r="D90" s="2" t="s">
        <v>219</v>
      </c>
      <c r="E90" s="10" t="s">
        <v>225</v>
      </c>
    </row>
    <row r="91" customFormat="false" ht="15" hidden="false" customHeight="false" outlineLevel="0" collapsed="false">
      <c r="B91" s="10" t="s">
        <v>226</v>
      </c>
      <c r="C91" s="20" t="n">
        <v>7</v>
      </c>
      <c r="D91" s="2" t="s">
        <v>219</v>
      </c>
      <c r="E91" s="10" t="s">
        <v>227</v>
      </c>
    </row>
    <row r="92" customFormat="false" ht="15" hidden="false" customHeight="false" outlineLevel="0" collapsed="false">
      <c r="B92" s="10" t="s">
        <v>228</v>
      </c>
      <c r="C92" s="18" t="n">
        <v>0.2</v>
      </c>
      <c r="D92" s="2" t="s">
        <v>83</v>
      </c>
      <c r="E92" s="2" t="s">
        <v>91</v>
      </c>
    </row>
    <row r="94" customFormat="false" ht="15" hidden="false" customHeight="false" outlineLevel="0" collapsed="false">
      <c r="B94" s="6" t="s">
        <v>229</v>
      </c>
      <c r="C94" s="6" t="s">
        <v>70</v>
      </c>
      <c r="D94" s="6" t="s">
        <v>71</v>
      </c>
      <c r="E94" s="6" t="s">
        <v>72</v>
      </c>
    </row>
    <row r="95" customFormat="false" ht="15" hidden="false" customHeight="false" outlineLevel="0" collapsed="false">
      <c r="B95" s="10" t="s">
        <v>230</v>
      </c>
      <c r="C95" s="17" t="n">
        <v>0</v>
      </c>
      <c r="D95" s="2" t="s">
        <v>122</v>
      </c>
      <c r="E95" s="2" t="s">
        <v>91</v>
      </c>
    </row>
    <row r="96" customFormat="false" ht="15" hidden="false" customHeight="false" outlineLevel="0" collapsed="false">
      <c r="B96" s="10" t="s">
        <v>231</v>
      </c>
      <c r="C96" s="21" t="n">
        <v>0.6</v>
      </c>
      <c r="D96" s="2" t="s">
        <v>111</v>
      </c>
      <c r="E96" s="10" t="s">
        <v>232</v>
      </c>
    </row>
    <row r="97" customFormat="false" ht="15" hidden="false" customHeight="false" outlineLevel="0" collapsed="false">
      <c r="B97" s="10" t="s">
        <v>233</v>
      </c>
      <c r="C97" s="25" t="n">
        <v>0.0765</v>
      </c>
      <c r="D97" s="2" t="s">
        <v>83</v>
      </c>
      <c r="E97" s="10" t="s">
        <v>234</v>
      </c>
    </row>
    <row r="98" customFormat="false" ht="15" hidden="false" customHeight="false" outlineLevel="0" collapsed="false">
      <c r="B98" s="10" t="s">
        <v>235</v>
      </c>
      <c r="C98" s="18" t="n">
        <v>0.08</v>
      </c>
      <c r="D98" s="2" t="s">
        <v>83</v>
      </c>
      <c r="E98" s="2" t="s">
        <v>91</v>
      </c>
    </row>
    <row r="99" customFormat="false" ht="15" hidden="false" customHeight="false" outlineLevel="0" collapsed="false">
      <c r="B99" s="10" t="s">
        <v>236</v>
      </c>
      <c r="C99" s="24" t="n">
        <v>4500</v>
      </c>
      <c r="D99" s="2" t="s">
        <v>155</v>
      </c>
      <c r="E99" s="10" t="s">
        <v>237</v>
      </c>
    </row>
    <row r="100" customFormat="false" ht="15" hidden="false" customHeight="false" outlineLevel="0" collapsed="false">
      <c r="B100" s="10" t="s">
        <v>238</v>
      </c>
      <c r="C100" s="18" t="n">
        <v>0</v>
      </c>
      <c r="D100" s="2" t="s">
        <v>83</v>
      </c>
      <c r="E100" s="10" t="s">
        <v>239</v>
      </c>
    </row>
    <row r="102" customFormat="false" ht="15" hidden="false" customHeight="false" outlineLevel="0" collapsed="false">
      <c r="B102" s="6" t="s">
        <v>240</v>
      </c>
      <c r="C102" s="6" t="s">
        <v>70</v>
      </c>
      <c r="D102" s="6" t="s">
        <v>71</v>
      </c>
      <c r="E102" s="6" t="s">
        <v>72</v>
      </c>
    </row>
    <row r="103" customFormat="false" ht="15" hidden="false" customHeight="false" outlineLevel="0" collapsed="false">
      <c r="B103" s="10" t="s">
        <v>241</v>
      </c>
      <c r="C103" s="24" t="n">
        <v>150</v>
      </c>
      <c r="D103" s="2" t="s">
        <v>209</v>
      </c>
      <c r="E103" s="2" t="s">
        <v>91</v>
      </c>
    </row>
    <row r="104" customFormat="false" ht="15" hidden="false" customHeight="false" outlineLevel="0" collapsed="false">
      <c r="B104" s="10" t="s">
        <v>242</v>
      </c>
      <c r="C104" s="24" t="n">
        <v>2000</v>
      </c>
      <c r="D104" s="2" t="s">
        <v>209</v>
      </c>
      <c r="E104" s="2" t="s">
        <v>91</v>
      </c>
    </row>
    <row r="105" customFormat="false" ht="15" hidden="false" customHeight="false" outlineLevel="0" collapsed="false">
      <c r="B105" s="10" t="s">
        <v>243</v>
      </c>
      <c r="C105" s="24" t="n">
        <v>30000</v>
      </c>
      <c r="D105" s="2" t="s">
        <v>209</v>
      </c>
      <c r="E105" s="10" t="s">
        <v>244</v>
      </c>
    </row>
    <row r="106" customFormat="false" ht="15" hidden="false" customHeight="false" outlineLevel="0" collapsed="false">
      <c r="B106" s="10" t="s">
        <v>245</v>
      </c>
      <c r="C106" s="18" t="n">
        <v>0.25</v>
      </c>
      <c r="D106" s="2" t="s">
        <v>83</v>
      </c>
      <c r="E106" s="10" t="s">
        <v>246</v>
      </c>
    </row>
    <row r="107" customFormat="false" ht="15" hidden="false" customHeight="false" outlineLevel="0" collapsed="false">
      <c r="B107" s="10" t="s">
        <v>247</v>
      </c>
      <c r="C107" s="24" t="n">
        <v>56000</v>
      </c>
      <c r="D107" s="2" t="s">
        <v>209</v>
      </c>
      <c r="E107" s="10" t="s">
        <v>248</v>
      </c>
    </row>
    <row r="109" customFormat="false" ht="15" hidden="false" customHeight="false" outlineLevel="0" collapsed="false">
      <c r="B109" s="6" t="s">
        <v>249</v>
      </c>
      <c r="C109" s="6" t="s">
        <v>70</v>
      </c>
      <c r="D109" s="6" t="s">
        <v>71</v>
      </c>
      <c r="E109" s="6" t="s">
        <v>72</v>
      </c>
    </row>
    <row r="110" customFormat="false" ht="15" hidden="false" customHeight="false" outlineLevel="0" collapsed="false">
      <c r="B110" s="2" t="s">
        <v>250</v>
      </c>
    </row>
    <row r="111" customFormat="false" ht="15" hidden="false" customHeight="false" outlineLevel="0" collapsed="false">
      <c r="B111" s="10" t="s">
        <v>251</v>
      </c>
      <c r="C111" s="21" t="n">
        <v>100</v>
      </c>
      <c r="D111" s="26" t="n">
        <v>55000</v>
      </c>
      <c r="E111" s="2" t="s">
        <v>252</v>
      </c>
    </row>
    <row r="112" customFormat="false" ht="15" hidden="false" customHeight="false" outlineLevel="0" collapsed="false">
      <c r="B112" s="10" t="s">
        <v>253</v>
      </c>
      <c r="C112" s="21" t="n">
        <v>122</v>
      </c>
      <c r="D112" s="26" t="n">
        <v>55001</v>
      </c>
      <c r="E112" s="2" t="s">
        <v>252</v>
      </c>
    </row>
    <row r="113" customFormat="false" ht="15" hidden="false" customHeight="false" outlineLevel="0" collapsed="false">
      <c r="B113" s="10" t="s">
        <v>254</v>
      </c>
      <c r="C113" s="21" t="n">
        <v>144</v>
      </c>
      <c r="D113" s="26" t="n">
        <v>56001</v>
      </c>
      <c r="E113" s="2"/>
    </row>
    <row r="114" customFormat="false" ht="15" hidden="false" customHeight="false" outlineLevel="0" collapsed="false">
      <c r="B114" s="10" t="s">
        <v>255</v>
      </c>
      <c r="C114" s="21" t="n">
        <v>166</v>
      </c>
      <c r="D114" s="26" t="n">
        <v>57001</v>
      </c>
      <c r="E114" s="2"/>
    </row>
    <row r="115" customFormat="false" ht="15" hidden="false" customHeight="false" outlineLevel="0" collapsed="false">
      <c r="B115" s="10" t="s">
        <v>256</v>
      </c>
      <c r="C115" s="21" t="n">
        <v>188</v>
      </c>
      <c r="D115" s="26" t="n">
        <v>58001</v>
      </c>
      <c r="E115" s="2"/>
    </row>
    <row r="116" customFormat="false" ht="15" hidden="false" customHeight="false" outlineLevel="0" collapsed="false">
      <c r="B116" s="10" t="s">
        <v>257</v>
      </c>
      <c r="C116" s="21" t="n">
        <v>210</v>
      </c>
      <c r="D116" s="26" t="n">
        <v>59001</v>
      </c>
      <c r="E116" s="2"/>
    </row>
    <row r="117" customFormat="false" ht="15" hidden="false" customHeight="false" outlineLevel="0" collapsed="false">
      <c r="B117" s="10" t="s">
        <v>258</v>
      </c>
      <c r="C117" s="21" t="n">
        <v>232</v>
      </c>
      <c r="D117" s="26" t="n">
        <v>60001</v>
      </c>
      <c r="E117" s="2"/>
    </row>
    <row r="118" customFormat="false" ht="15" hidden="false" customHeight="false" outlineLevel="0" collapsed="false">
      <c r="B118" s="10" t="s">
        <v>259</v>
      </c>
      <c r="C118" s="21" t="n">
        <v>254</v>
      </c>
      <c r="D118" s="26" t="n">
        <v>61001</v>
      </c>
      <c r="E118" s="2"/>
    </row>
    <row r="119" customFormat="false" ht="15" hidden="false" customHeight="false" outlineLevel="0" collapsed="false">
      <c r="B119" s="10" t="s">
        <v>260</v>
      </c>
      <c r="C119" s="21" t="n">
        <v>276</v>
      </c>
      <c r="D119" s="26" t="n">
        <v>62001</v>
      </c>
      <c r="E119" s="2"/>
    </row>
    <row r="120" customFormat="false" ht="15" hidden="false" customHeight="false" outlineLevel="0" collapsed="false">
      <c r="B120" s="10" t="s">
        <v>261</v>
      </c>
      <c r="C120" s="21" t="n">
        <v>298</v>
      </c>
      <c r="D120" s="26" t="n">
        <v>63001</v>
      </c>
      <c r="E120" s="2"/>
    </row>
    <row r="121" customFormat="false" ht="15" hidden="false" customHeight="false" outlineLevel="0" collapsed="false">
      <c r="B121" s="10" t="s">
        <v>262</v>
      </c>
      <c r="C121" s="21" t="n">
        <v>320</v>
      </c>
      <c r="D121" s="26" t="n">
        <v>64001</v>
      </c>
      <c r="E121" s="2"/>
    </row>
    <row r="122" customFormat="false" ht="15" hidden="false" customHeight="false" outlineLevel="0" collapsed="false">
      <c r="B122" s="10" t="s">
        <v>263</v>
      </c>
      <c r="C122" s="21" t="n">
        <v>342</v>
      </c>
      <c r="D122" s="26" t="n">
        <v>65001</v>
      </c>
      <c r="E122" s="2"/>
    </row>
    <row r="123" customFormat="false" ht="15" hidden="false" customHeight="false" outlineLevel="0" collapsed="false">
      <c r="B123" s="10" t="s">
        <v>264</v>
      </c>
      <c r="C123" s="21" t="n">
        <v>364</v>
      </c>
      <c r="D123" s="26" t="n">
        <v>66001</v>
      </c>
      <c r="E123" s="2"/>
    </row>
    <row r="124" customFormat="false" ht="15" hidden="false" customHeight="false" outlineLevel="0" collapsed="false">
      <c r="B124" s="10" t="s">
        <v>265</v>
      </c>
      <c r="C124" s="21" t="n">
        <v>386</v>
      </c>
      <c r="D124" s="26" t="n">
        <v>67001</v>
      </c>
      <c r="E124" s="2"/>
    </row>
    <row r="125" customFormat="false" ht="15" hidden="false" customHeight="false" outlineLevel="0" collapsed="false">
      <c r="B125" s="10" t="s">
        <v>266</v>
      </c>
      <c r="C125" s="21" t="n">
        <v>408</v>
      </c>
      <c r="D125" s="26" t="n">
        <v>68001</v>
      </c>
      <c r="E125" s="2"/>
    </row>
    <row r="126" customFormat="false" ht="15" hidden="false" customHeight="false" outlineLevel="0" collapsed="false">
      <c r="B126" s="10" t="s">
        <v>267</v>
      </c>
      <c r="C126" s="21" t="n">
        <v>430</v>
      </c>
      <c r="D126" s="26" t="n">
        <v>69001</v>
      </c>
      <c r="E126" s="2"/>
    </row>
    <row r="127" customFormat="false" ht="15" hidden="false" customHeight="false" outlineLevel="0" collapsed="false">
      <c r="B127" s="10" t="s">
        <v>268</v>
      </c>
      <c r="C127" s="21" t="n">
        <v>452</v>
      </c>
      <c r="D127" s="26" t="n">
        <v>70001</v>
      </c>
      <c r="E127" s="2"/>
    </row>
    <row r="128" customFormat="false" ht="15" hidden="false" customHeight="false" outlineLevel="0" collapsed="false">
      <c r="B128" s="10" t="s">
        <v>269</v>
      </c>
      <c r="C128" s="21" t="n">
        <v>474</v>
      </c>
      <c r="D128" s="26" t="n">
        <v>71001</v>
      </c>
      <c r="E128" s="2"/>
    </row>
    <row r="129" customFormat="false" ht="15" hidden="false" customHeight="false" outlineLevel="0" collapsed="false">
      <c r="B129" s="10" t="s">
        <v>270</v>
      </c>
      <c r="C129" s="21" t="n">
        <v>496</v>
      </c>
      <c r="D129" s="26" t="n">
        <v>72001</v>
      </c>
      <c r="E129" s="2"/>
    </row>
    <row r="130" customFormat="false" ht="15" hidden="false" customHeight="false" outlineLevel="0" collapsed="false">
      <c r="B130" s="10" t="s">
        <v>271</v>
      </c>
      <c r="C130" s="21" t="n">
        <v>518</v>
      </c>
      <c r="D130" s="26" t="n">
        <v>73001</v>
      </c>
      <c r="E130" s="2"/>
    </row>
    <row r="131" customFormat="false" ht="15" hidden="false" customHeight="false" outlineLevel="0" collapsed="false">
      <c r="B131" s="10" t="s">
        <v>272</v>
      </c>
      <c r="C131" s="21" t="n">
        <v>540</v>
      </c>
      <c r="D131" s="26" t="n">
        <v>74001</v>
      </c>
      <c r="E131" s="2" t="s">
        <v>252</v>
      </c>
    </row>
    <row r="132" customFormat="false" ht="15" hidden="false" customHeight="false" outlineLevel="0" collapsed="false">
      <c r="B132" s="10" t="s">
        <v>273</v>
      </c>
      <c r="C132" s="21" t="n">
        <v>550</v>
      </c>
      <c r="D132" s="26" t="n">
        <v>75001</v>
      </c>
      <c r="E132" s="2" t="s">
        <v>252</v>
      </c>
    </row>
    <row r="134" customFormat="false" ht="15" hidden="false" customHeight="false" outlineLevel="0" collapsed="false">
      <c r="B134" s="6" t="s">
        <v>274</v>
      </c>
      <c r="C134" s="6" t="s">
        <v>70</v>
      </c>
      <c r="D134" s="6" t="s">
        <v>71</v>
      </c>
      <c r="E134" s="6" t="s">
        <v>72</v>
      </c>
    </row>
    <row r="135" customFormat="false" ht="15" hidden="false" customHeight="false" outlineLevel="0" collapsed="false">
      <c r="B135" s="10" t="s">
        <v>275</v>
      </c>
      <c r="C135" s="27" t="n">
        <f aca="false">IF(Assumptions!$C$8=1,1,0)</f>
        <v>1</v>
      </c>
      <c r="D135" s="2" t="s">
        <v>276</v>
      </c>
      <c r="E135" s="10" t="s">
        <v>277</v>
      </c>
    </row>
    <row r="136" customFormat="false" ht="15" hidden="false" customHeight="false" outlineLevel="0" collapsed="false">
      <c r="B136" s="10" t="s">
        <v>278</v>
      </c>
      <c r="C136" s="28" t="n">
        <f aca="false">1-IF(Assumptions!$C$135=1,0,Assumptions!$C$9)</f>
        <v>1</v>
      </c>
      <c r="D136" s="2" t="s">
        <v>83</v>
      </c>
      <c r="E136" s="10"/>
    </row>
    <row r="137" customFormat="false" ht="15" hidden="false" customHeight="false" outlineLevel="0" collapsed="false">
      <c r="B137" s="10" t="s">
        <v>279</v>
      </c>
      <c r="C137" s="28" t="n">
        <f aca="false">Assumptions!$C$32*Assumptions!$C$33+Assumptions!$C$34</f>
        <v>0</v>
      </c>
      <c r="D137" s="2" t="s">
        <v>83</v>
      </c>
      <c r="E137" s="10"/>
    </row>
    <row r="138" customFormat="false" ht="15" hidden="false" customHeight="false" outlineLevel="0" collapsed="false">
      <c r="B138" s="10" t="s">
        <v>280</v>
      </c>
      <c r="C138" s="29" t="n">
        <f aca="false">IF(MAX(Assumptions!$C$14,Assumptions!$C$15,Assumptions!$C$16)&gt;=10001,1,0)</f>
        <v>1</v>
      </c>
      <c r="D138" s="2"/>
      <c r="E138" s="10" t="s">
        <v>281</v>
      </c>
    </row>
    <row r="139" customFormat="false" ht="15" hidden="false" customHeight="false" outlineLevel="0" collapsed="false">
      <c r="B139" s="10" t="s">
        <v>282</v>
      </c>
      <c r="C139" s="29" t="n">
        <f aca="false">IF(OR(AND(Assumptions!$C$16&gt;=26001,Assumptions!$C$15&gt;10000),Assumptions!$C$14&gt;=26001),1,0)</f>
        <v>1</v>
      </c>
      <c r="D139" s="2"/>
      <c r="E139" s="10" t="s">
        <v>283</v>
      </c>
    </row>
    <row r="140" customFormat="false" ht="15" hidden="false" customHeight="false" outlineLevel="0" collapsed="false">
      <c r="B140" s="10" t="s">
        <v>284</v>
      </c>
      <c r="C140" s="30" t="n">
        <f aca="false">IF(Assumptions!$C$17&lt;55000,0,INDEX(Assumptions!$C$111:$C$132,MATCH(Assumptions!$C$17,Assumptions!$D$111:$D$132,1)))</f>
        <v>550</v>
      </c>
      <c r="D140" s="2" t="s">
        <v>148</v>
      </c>
      <c r="E140" s="10" t="s">
        <v>285</v>
      </c>
    </row>
    <row r="141" customFormat="false" ht="15" hidden="false" customHeight="false" outlineLevel="0" collapsed="false">
      <c r="B141" s="10" t="s">
        <v>286</v>
      </c>
      <c r="C141" s="31" t="n">
        <f aca="false">IF(MAX(Assumptions!$C$14,Assumptions!$C$15)&gt;=10001,750000,300000)</f>
        <v>750000</v>
      </c>
      <c r="D141" s="2" t="s">
        <v>287</v>
      </c>
      <c r="E141" s="10" t="s">
        <v>288</v>
      </c>
    </row>
    <row r="142" customFormat="false" ht="15" hidden="false" customHeight="false" outlineLevel="0" collapsed="false">
      <c r="B142" s="10" t="s">
        <v>289</v>
      </c>
      <c r="C142" s="32" t="n">
        <f aca="false">Assumptions!$C$20*Assumptions!$C$21</f>
        <v>10500</v>
      </c>
      <c r="D142" s="2" t="s">
        <v>104</v>
      </c>
      <c r="E142" s="10" t="s">
        <v>290</v>
      </c>
    </row>
    <row r="143" customFormat="false" ht="15" hidden="false" customHeight="false" outlineLevel="0" collapsed="false">
      <c r="B143" s="10" t="s">
        <v>291</v>
      </c>
      <c r="C143" s="33" t="n">
        <f aca="false">IF(Assumptions!$C$22=0,0,Assumptions!$C$21/Assumptions!$C$22)</f>
        <v>10</v>
      </c>
      <c r="D143" s="2" t="s">
        <v>292</v>
      </c>
      <c r="E143" s="10" t="s">
        <v>293</v>
      </c>
    </row>
    <row r="144" customFormat="false" ht="15" hidden="false" customHeight="false" outlineLevel="0" collapsed="false">
      <c r="B144" s="10" t="s">
        <v>294</v>
      </c>
      <c r="C144" s="34" t="str">
        <f aca="false">IF(Assumptions!$C$143&lt;=11,"OK: within 11 hours","CHECK: over 11 driving hours a day")</f>
        <v>OK: within 11 hours</v>
      </c>
      <c r="D144" s="2"/>
      <c r="E144" s="10" t="s">
        <v>295</v>
      </c>
    </row>
    <row r="145" customFormat="false" ht="15" hidden="false" customHeight="false" outlineLevel="0" collapsed="false">
      <c r="B145" s="10" t="s">
        <v>296</v>
      </c>
      <c r="C145" s="31" t="n">
        <f aca="false">Assumptions!$C$82*(1-Assumptions!$C$84)</f>
        <v>80750</v>
      </c>
      <c r="D145" s="2" t="s">
        <v>209</v>
      </c>
      <c r="E145" s="10" t="s">
        <v>297</v>
      </c>
    </row>
    <row r="146" customFormat="false" ht="15" hidden="false" customHeight="false" outlineLevel="0" collapsed="false">
      <c r="B146" s="10" t="s">
        <v>298</v>
      </c>
      <c r="C146" s="31" t="n">
        <f aca="false">Assumptions!$C$83*(1-Assumptions!$C$85)</f>
        <v>29750</v>
      </c>
      <c r="D146" s="2" t="s">
        <v>209</v>
      </c>
      <c r="E146" s="10" t="s">
        <v>297</v>
      </c>
    </row>
    <row r="147" customFormat="false" ht="15" hidden="false" customHeight="false" outlineLevel="0" collapsed="false">
      <c r="B147" s="10" t="s">
        <v>299</v>
      </c>
      <c r="C147" s="31" t="n">
        <f aca="false">IF(Assumptions!$C$90&gt;0,Assumptions!$C$82*(1-Assumptions!$C$92)/(Assumptions!$C$90*12),0)+IF(Assumptions!$C$91&gt;0,Assumptions!$C$83*(1-Assumptions!$C$92)/(Assumptions!$C$91*12),0)</f>
        <v>1600</v>
      </c>
      <c r="D147" s="2" t="s">
        <v>155</v>
      </c>
      <c r="E147" s="10" t="s">
        <v>300</v>
      </c>
    </row>
  </sheetData>
  <dataValidations count="14">
    <dataValidation allowBlank="false" error="auto = use the federal rule shown on the Compliance tab; Y = applies; N = does not apply." errorStyle="stop" errorTitle="auto, Y or N" operator="between" prompt="auto = use the federal rule shown on the Compliance tab; Y = applies; N = does not apply." promptTitle="auto, Y or N" showDropDown="false" showErrorMessage="true" showInputMessage="true" sqref="C60 C62 C64 C66 C72:C73 C76 C78" type="list">
      <formula1>"auto,Y,N"</formula1>
      <formula2>0</formula2>
    </dataValidation>
    <dataValidation allowBlank="false" error="Ask your base state whether this applies to your truck." errorStyle="stop" errorTitle="Y or N" operator="between" prompt="Ask your base state whether this applies to your truck." promptTitle="Y or N" showDropDown="false" showErrorMessage="true" showInputMessage="true" sqref="C68 C70" type="list">
      <formula1>"Y,N"</formula1>
      <formula2>0</formula2>
    </dataValidation>
    <dataValidation allowBlank="true" error="1 = own authority, 2 = leased onto a carrier." errorStyle="stop" errorTitle="1 or 2" operator="between" prompt="1 = own authority, 2 = leased onto a carrier." promptTitle="1 or 2" showDropDown="false" showErrorMessage="true" showInputMessage="true" sqref="C8" type="whole">
      <formula1>1</formula1>
      <formula2>2</formula2>
    </dataValidation>
    <dataValidation allowBlank="true" error="Enter 0 or 1." errorStyle="stop" errorTitle="0 or 1" operator="between" prompt="Enter 0 or 1." promptTitle="0 or 1" showDropDown="false" showErrorMessage="true" showInputMessage="true" sqref="C10 C32 C79 C95" type="whole">
      <formula1>0</formula1>
      <formula2>1</formula2>
    </dataValidation>
    <dataValidation allowBlank="true" error="0 = paid in the month you haul, 1 = paid the following month." errorStyle="stop" errorTitle="0 or 1" operator="between" prompt="0 = paid in the month you haul, 1 = paid the following month." promptTitle="0 or 1" showDropDown="false" showErrorMessage="true" showInputMessage="true" sqref="C31" type="whole">
      <formula1>0</formula1>
      <formula2>1</formula2>
    </dataValidation>
    <dataValidation allowBlank="true" error="Empty miles must be between 0% and 95% of all miles." errorStyle="stop" errorTitle="Deadhead 0%-95%" operator="between" prompt="Empty miles must be between 0% and 95% of all miles." promptTitle="Deadhead 0%-95%" showDropDown="false" showErrorMessage="true" showInputMessage="true" sqref="C23" type="decimal">
      <formula1>0</formula1>
      <formula2>0.95</formula2>
    </dataValidation>
    <dataValidation allowBlank="true" error="Enter a percentage between 0% and 100%." errorStyle="stop" errorTitle="Percentage 0%-100%" operator="between" prompt="Enter a percentage between 0% and 100%." promptTitle="Percentage 0%-100%" showDropDown="false" showErrorMessage="true" showInputMessage="true" sqref="C9 C33:C34 C52 C84:C86 C88 C92 C97:C98 C100 C106" type="decimal">
      <formula1>0</formula1>
      <formula2>1</formula2>
    </dataValidation>
    <dataValidation allowBlank="true" error="Enter a yearly change between -100% and 100% (3% = 0.03)." errorStyle="stop" errorTitle="Yearly change" operator="between" prompt="Enter a yearly change between -100% and 100% (3% = 0.03)." promptTitle="Yearly change" showDropDown="false" showErrorMessage="true" showInputMessage="true" sqref="C26:C27 C39 C47" type="decimal">
      <formula1>-1</formula1>
      <formula2>1</formula2>
    </dataValidation>
    <dataValidation allowBlank="true" error="Enter 0% to 200% of full monthly miles." errorStyle="stop" errorTitle="Ramp-up 0%-200%" operator="between" prompt="Enter 0% to 200% of full monthly miles." promptTitle="Ramp-up 0%-200%" showDropDown="false" showErrorMessage="true" showInputMessage="true" sqref="C28:C30" type="decimal">
      <formula1>0</formula1>
      <formula2>2</formula2>
    </dataValidation>
    <dataValidation allowBlank="true" error="Driving days per month: a whole number from 0 to 31." errorStyle="stop" errorTitle="Driving days 0-31" operator="between" prompt="Driving days per month: a whole number from 0 to 31." promptTitle="Driving days 0-31" showDropDown="false" showErrorMessage="true" showInputMessage="true" sqref="C20" type="whole">
      <formula1>0</formula1>
      <formula2>31</formula2>
    </dataValidation>
    <dataValidation allowBlank="true" error="Loan term: a whole number of years from 1 to 10." errorStyle="stop" errorTitle="Loan term 1-10 years" operator="between" prompt="Loan term: a whole number of years from 1 to 10." promptTitle="Loan term 1-10 years" showDropDown="false" showErrorMessage="true" showInputMessage="true" sqref="C87 C89" type="whole">
      <formula1>1</formula1>
      <formula2>10</formula2>
    </dataValidation>
    <dataValidation allowBlank="true" error="A whole number of years from 1 to 30." errorStyle="stop" errorTitle="Depreciation life" operator="between" prompt="A whole number of years from 1 to 30." promptTitle="Depreciation life" showDropDown="false" showErrorMessage="true" showInputMessage="true" sqref="C90:C91" type="whole">
      <formula1>1</formula1>
      <formula2>30</formula2>
    </dataValidation>
    <dataValidation allowBlank="true" error="Miles per gallon must be greater than 0." errorStyle="stop" errorTitle="Fuel economy above 0" operator="greaterThan" prompt="Miles per gallon must be greater than 0." promptTitle="Fuel economy above 0" showDropDown="false" showErrorMessage="true" showInputMessage="true" sqref="C37" type="decimal">
      <formula1>0</formula1>
      <formula2>0</formula2>
    </dataValidation>
    <dataValidation allowBlank="true" error="Enter 0 or more (no negative values)." errorStyle="stop" errorTitle="0 or more" operator="greaterThanOrEqual" prompt="Enter 0 or more (no negative values)." promptTitle="0 or more" showDropDown="false" showErrorMessage="true" showInputMessage="true" sqref="C14:C17 C21:C22 C24:C25 C38 C42:C46 C50:C51 C53:C56 C61 C63 C65 C67 C69 C71 C74:C75 C77 C82:C83 C96 C99 C103:C105 C107"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O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2" min="2" style="0" width="9"/>
    <col collapsed="false" customWidth="true" hidden="false" outlineLevel="0" max="38" min="3" style="0" width="11"/>
    <col collapsed="false" customWidth="true" hidden="false" outlineLevel="0" max="41" min="39" style="0" width="13"/>
  </cols>
  <sheetData>
    <row r="1" customFormat="false" ht="17.35" hidden="false" customHeight="false" outlineLevel="0" collapsed="false">
      <c r="A1" s="1" t="s">
        <v>301</v>
      </c>
    </row>
    <row r="2" customFormat="false" ht="15" hidden="false" customHeight="false" outlineLevel="0" collapsed="false">
      <c r="A2" s="2" t="s">
        <v>302</v>
      </c>
    </row>
    <row r="4" customFormat="false" ht="15" hidden="false" customHeight="false" outlineLevel="0" collapsed="false">
      <c r="A4" s="3" t="s">
        <v>303</v>
      </c>
      <c r="C4" s="35" t="n">
        <v>1</v>
      </c>
      <c r="D4" s="35" t="n">
        <v>2</v>
      </c>
      <c r="E4" s="35" t="n">
        <v>3</v>
      </c>
      <c r="F4" s="35" t="n">
        <v>4</v>
      </c>
      <c r="G4" s="35" t="n">
        <v>5</v>
      </c>
      <c r="H4" s="35" t="n">
        <v>6</v>
      </c>
      <c r="I4" s="35" t="n">
        <v>7</v>
      </c>
      <c r="J4" s="35" t="n">
        <v>8</v>
      </c>
      <c r="K4" s="35" t="n">
        <v>9</v>
      </c>
      <c r="L4" s="35" t="n">
        <v>10</v>
      </c>
      <c r="M4" s="35" t="n">
        <v>11</v>
      </c>
      <c r="N4" s="35" t="n">
        <v>12</v>
      </c>
      <c r="O4" s="35" t="n">
        <v>13</v>
      </c>
      <c r="P4" s="35" t="n">
        <v>14</v>
      </c>
      <c r="Q4" s="35" t="n">
        <v>15</v>
      </c>
      <c r="R4" s="35" t="n">
        <v>16</v>
      </c>
      <c r="S4" s="35" t="n">
        <v>17</v>
      </c>
      <c r="T4" s="35" t="n">
        <v>18</v>
      </c>
      <c r="U4" s="35" t="n">
        <v>19</v>
      </c>
      <c r="V4" s="35" t="n">
        <v>20</v>
      </c>
      <c r="W4" s="35" t="n">
        <v>21</v>
      </c>
      <c r="X4" s="35" t="n">
        <v>22</v>
      </c>
      <c r="Y4" s="35" t="n">
        <v>23</v>
      </c>
      <c r="Z4" s="35" t="n">
        <v>24</v>
      </c>
      <c r="AA4" s="35" t="n">
        <v>25</v>
      </c>
      <c r="AB4" s="35" t="n">
        <v>26</v>
      </c>
      <c r="AC4" s="35" t="n">
        <v>27</v>
      </c>
      <c r="AD4" s="35" t="n">
        <v>28</v>
      </c>
      <c r="AE4" s="35" t="n">
        <v>29</v>
      </c>
      <c r="AF4" s="35" t="n">
        <v>30</v>
      </c>
      <c r="AG4" s="35" t="n">
        <v>31</v>
      </c>
      <c r="AH4" s="35" t="n">
        <v>32</v>
      </c>
      <c r="AI4" s="35" t="n">
        <v>33</v>
      </c>
      <c r="AJ4" s="35" t="n">
        <v>34</v>
      </c>
      <c r="AK4" s="35" t="n">
        <v>35</v>
      </c>
      <c r="AL4" s="35" t="n">
        <v>36</v>
      </c>
      <c r="AM4" s="36" t="s">
        <v>304</v>
      </c>
      <c r="AN4" s="36" t="s">
        <v>304</v>
      </c>
      <c r="AO4" s="36" t="s">
        <v>304</v>
      </c>
    </row>
    <row r="5" customFormat="false" ht="15" hidden="false" customHeight="false" outlineLevel="0" collapsed="false">
      <c r="A5" s="3" t="s">
        <v>305</v>
      </c>
      <c r="C5" s="37" t="n">
        <f aca="false">INT((C4-1)/12)+1</f>
        <v>1</v>
      </c>
      <c r="D5" s="37" t="n">
        <f aca="false">INT((D4-1)/12)+1</f>
        <v>1</v>
      </c>
      <c r="E5" s="37" t="n">
        <f aca="false">INT((E4-1)/12)+1</f>
        <v>1</v>
      </c>
      <c r="F5" s="37" t="n">
        <f aca="false">INT((F4-1)/12)+1</f>
        <v>1</v>
      </c>
      <c r="G5" s="37" t="n">
        <f aca="false">INT((G4-1)/12)+1</f>
        <v>1</v>
      </c>
      <c r="H5" s="37" t="n">
        <f aca="false">INT((H4-1)/12)+1</f>
        <v>1</v>
      </c>
      <c r="I5" s="37" t="n">
        <f aca="false">INT((I4-1)/12)+1</f>
        <v>1</v>
      </c>
      <c r="J5" s="37" t="n">
        <f aca="false">INT((J4-1)/12)+1</f>
        <v>1</v>
      </c>
      <c r="K5" s="37" t="n">
        <f aca="false">INT((K4-1)/12)+1</f>
        <v>1</v>
      </c>
      <c r="L5" s="37" t="n">
        <f aca="false">INT((L4-1)/12)+1</f>
        <v>1</v>
      </c>
      <c r="M5" s="37" t="n">
        <f aca="false">INT((M4-1)/12)+1</f>
        <v>1</v>
      </c>
      <c r="N5" s="37" t="n">
        <f aca="false">INT((N4-1)/12)+1</f>
        <v>1</v>
      </c>
      <c r="O5" s="37" t="n">
        <f aca="false">INT((O4-1)/12)+1</f>
        <v>2</v>
      </c>
      <c r="P5" s="37" t="n">
        <f aca="false">INT((P4-1)/12)+1</f>
        <v>2</v>
      </c>
      <c r="Q5" s="37" t="n">
        <f aca="false">INT((Q4-1)/12)+1</f>
        <v>2</v>
      </c>
      <c r="R5" s="37" t="n">
        <f aca="false">INT((R4-1)/12)+1</f>
        <v>2</v>
      </c>
      <c r="S5" s="37" t="n">
        <f aca="false">INT((S4-1)/12)+1</f>
        <v>2</v>
      </c>
      <c r="T5" s="37" t="n">
        <f aca="false">INT((T4-1)/12)+1</f>
        <v>2</v>
      </c>
      <c r="U5" s="37" t="n">
        <f aca="false">INT((U4-1)/12)+1</f>
        <v>2</v>
      </c>
      <c r="V5" s="37" t="n">
        <f aca="false">INT((V4-1)/12)+1</f>
        <v>2</v>
      </c>
      <c r="W5" s="37" t="n">
        <f aca="false">INT((W4-1)/12)+1</f>
        <v>2</v>
      </c>
      <c r="X5" s="37" t="n">
        <f aca="false">INT((X4-1)/12)+1</f>
        <v>2</v>
      </c>
      <c r="Y5" s="37" t="n">
        <f aca="false">INT((Y4-1)/12)+1</f>
        <v>2</v>
      </c>
      <c r="Z5" s="37" t="n">
        <f aca="false">INT((Z4-1)/12)+1</f>
        <v>2</v>
      </c>
      <c r="AA5" s="37" t="n">
        <f aca="false">INT((AA4-1)/12)+1</f>
        <v>3</v>
      </c>
      <c r="AB5" s="37" t="n">
        <f aca="false">INT((AB4-1)/12)+1</f>
        <v>3</v>
      </c>
      <c r="AC5" s="37" t="n">
        <f aca="false">INT((AC4-1)/12)+1</f>
        <v>3</v>
      </c>
      <c r="AD5" s="37" t="n">
        <f aca="false">INT((AD4-1)/12)+1</f>
        <v>3</v>
      </c>
      <c r="AE5" s="37" t="n">
        <f aca="false">INT((AE4-1)/12)+1</f>
        <v>3</v>
      </c>
      <c r="AF5" s="37" t="n">
        <f aca="false">INT((AF4-1)/12)+1</f>
        <v>3</v>
      </c>
      <c r="AG5" s="37" t="n">
        <f aca="false">INT((AG4-1)/12)+1</f>
        <v>3</v>
      </c>
      <c r="AH5" s="37" t="n">
        <f aca="false">INT((AH4-1)/12)+1</f>
        <v>3</v>
      </c>
      <c r="AI5" s="37" t="n">
        <f aca="false">INT((AI4-1)/12)+1</f>
        <v>3</v>
      </c>
      <c r="AJ5" s="37" t="n">
        <f aca="false">INT((AJ4-1)/12)+1</f>
        <v>3</v>
      </c>
      <c r="AK5" s="37" t="n">
        <f aca="false">INT((AK4-1)/12)+1</f>
        <v>3</v>
      </c>
      <c r="AL5" s="37" t="n">
        <f aca="false">INT((AL4-1)/12)+1</f>
        <v>3</v>
      </c>
      <c r="AM5" s="35" t="n">
        <v>1</v>
      </c>
      <c r="AN5" s="35" t="n">
        <v>2</v>
      </c>
      <c r="AO5" s="35" t="n">
        <v>3</v>
      </c>
    </row>
    <row r="6" customFormat="false" ht="15" hidden="false" customHeight="false" outlineLevel="0" collapsed="false">
      <c r="A6" s="6" t="s">
        <v>306</v>
      </c>
      <c r="B6" s="6" t="s">
        <v>71</v>
      </c>
      <c r="C6" s="38" t="n">
        <f aca="false">EDATE(Assumptions!$C$7,C4-1)</f>
        <v>46388</v>
      </c>
      <c r="D6" s="38" t="n">
        <f aca="false">EDATE(Assumptions!$C$7,D4-1)</f>
        <v>46419</v>
      </c>
      <c r="E6" s="38" t="n">
        <f aca="false">EDATE(Assumptions!$C$7,E4-1)</f>
        <v>46447</v>
      </c>
      <c r="F6" s="38" t="n">
        <f aca="false">EDATE(Assumptions!$C$7,F4-1)</f>
        <v>46478</v>
      </c>
      <c r="G6" s="38" t="n">
        <f aca="false">EDATE(Assumptions!$C$7,G4-1)</f>
        <v>46508</v>
      </c>
      <c r="H6" s="38" t="n">
        <f aca="false">EDATE(Assumptions!$C$7,H4-1)</f>
        <v>46539</v>
      </c>
      <c r="I6" s="38" t="n">
        <f aca="false">EDATE(Assumptions!$C$7,I4-1)</f>
        <v>46569</v>
      </c>
      <c r="J6" s="38" t="n">
        <f aca="false">EDATE(Assumptions!$C$7,J4-1)</f>
        <v>46600</v>
      </c>
      <c r="K6" s="38" t="n">
        <f aca="false">EDATE(Assumptions!$C$7,K4-1)</f>
        <v>46631</v>
      </c>
      <c r="L6" s="38" t="n">
        <f aca="false">EDATE(Assumptions!$C$7,L4-1)</f>
        <v>46661</v>
      </c>
      <c r="M6" s="38" t="n">
        <f aca="false">EDATE(Assumptions!$C$7,M4-1)</f>
        <v>46692</v>
      </c>
      <c r="N6" s="38" t="n">
        <f aca="false">EDATE(Assumptions!$C$7,N4-1)</f>
        <v>46722</v>
      </c>
      <c r="O6" s="38" t="n">
        <f aca="false">EDATE(Assumptions!$C$7,O4-1)</f>
        <v>46753</v>
      </c>
      <c r="P6" s="38" t="n">
        <f aca="false">EDATE(Assumptions!$C$7,P4-1)</f>
        <v>46784</v>
      </c>
      <c r="Q6" s="38" t="n">
        <f aca="false">EDATE(Assumptions!$C$7,Q4-1)</f>
        <v>46813</v>
      </c>
      <c r="R6" s="38" t="n">
        <f aca="false">EDATE(Assumptions!$C$7,R4-1)</f>
        <v>46844</v>
      </c>
      <c r="S6" s="38" t="n">
        <f aca="false">EDATE(Assumptions!$C$7,S4-1)</f>
        <v>46874</v>
      </c>
      <c r="T6" s="38" t="n">
        <f aca="false">EDATE(Assumptions!$C$7,T4-1)</f>
        <v>46905</v>
      </c>
      <c r="U6" s="38" t="n">
        <f aca="false">EDATE(Assumptions!$C$7,U4-1)</f>
        <v>46935</v>
      </c>
      <c r="V6" s="38" t="n">
        <f aca="false">EDATE(Assumptions!$C$7,V4-1)</f>
        <v>46966</v>
      </c>
      <c r="W6" s="38" t="n">
        <f aca="false">EDATE(Assumptions!$C$7,W4-1)</f>
        <v>46997</v>
      </c>
      <c r="X6" s="38" t="n">
        <f aca="false">EDATE(Assumptions!$C$7,X4-1)</f>
        <v>47027</v>
      </c>
      <c r="Y6" s="38" t="n">
        <f aca="false">EDATE(Assumptions!$C$7,Y4-1)</f>
        <v>47058</v>
      </c>
      <c r="Z6" s="38" t="n">
        <f aca="false">EDATE(Assumptions!$C$7,Z4-1)</f>
        <v>47088</v>
      </c>
      <c r="AA6" s="38" t="n">
        <f aca="false">EDATE(Assumptions!$C$7,AA4-1)</f>
        <v>47119</v>
      </c>
      <c r="AB6" s="38" t="n">
        <f aca="false">EDATE(Assumptions!$C$7,AB4-1)</f>
        <v>47150</v>
      </c>
      <c r="AC6" s="38" t="n">
        <f aca="false">EDATE(Assumptions!$C$7,AC4-1)</f>
        <v>47178</v>
      </c>
      <c r="AD6" s="38" t="n">
        <f aca="false">EDATE(Assumptions!$C$7,AD4-1)</f>
        <v>47209</v>
      </c>
      <c r="AE6" s="38" t="n">
        <f aca="false">EDATE(Assumptions!$C$7,AE4-1)</f>
        <v>47239</v>
      </c>
      <c r="AF6" s="38" t="n">
        <f aca="false">EDATE(Assumptions!$C$7,AF4-1)</f>
        <v>47270</v>
      </c>
      <c r="AG6" s="38" t="n">
        <f aca="false">EDATE(Assumptions!$C$7,AG4-1)</f>
        <v>47300</v>
      </c>
      <c r="AH6" s="38" t="n">
        <f aca="false">EDATE(Assumptions!$C$7,AH4-1)</f>
        <v>47331</v>
      </c>
      <c r="AI6" s="38" t="n">
        <f aca="false">EDATE(Assumptions!$C$7,AI4-1)</f>
        <v>47362</v>
      </c>
      <c r="AJ6" s="38" t="n">
        <f aca="false">EDATE(Assumptions!$C$7,AJ4-1)</f>
        <v>47392</v>
      </c>
      <c r="AK6" s="38" t="n">
        <f aca="false">EDATE(Assumptions!$C$7,AK4-1)</f>
        <v>47423</v>
      </c>
      <c r="AL6" s="38" t="n">
        <f aca="false">EDATE(Assumptions!$C$7,AL4-1)</f>
        <v>47453</v>
      </c>
      <c r="AM6" s="39" t="s">
        <v>307</v>
      </c>
      <c r="AN6" s="39" t="s">
        <v>308</v>
      </c>
      <c r="AO6" s="39" t="s">
        <v>309</v>
      </c>
    </row>
    <row r="7" customFormat="false" ht="15" hidden="false" customHeight="false" outlineLevel="0" collapsed="false">
      <c r="A7" s="40" t="s">
        <v>310</v>
      </c>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row>
    <row r="8" customFormat="false" ht="15" hidden="false" customHeight="false" outlineLevel="0" collapsed="false">
      <c r="A8" s="10" t="s">
        <v>311</v>
      </c>
      <c r="B8" s="2"/>
      <c r="C8" s="28" t="n">
        <f aca="false">IF(C4&lt;=3,INDEX(Assumptions!$C$28:$C$30,C4),1)</f>
        <v>0.6</v>
      </c>
      <c r="D8" s="28" t="n">
        <f aca="false">IF(D4&lt;=3,INDEX(Assumptions!$C$28:$C$30,D4),1)</f>
        <v>0.8</v>
      </c>
      <c r="E8" s="28" t="n">
        <f aca="false">IF(E4&lt;=3,INDEX(Assumptions!$C$28:$C$30,E4),1)</f>
        <v>0.95</v>
      </c>
      <c r="F8" s="28" t="n">
        <f aca="false">IF(F4&lt;=3,INDEX(Assumptions!$C$28:$C$30,F4),1)</f>
        <v>1</v>
      </c>
      <c r="G8" s="28" t="n">
        <f aca="false">IF(G4&lt;=3,INDEX(Assumptions!$C$28:$C$30,G4),1)</f>
        <v>1</v>
      </c>
      <c r="H8" s="28" t="n">
        <f aca="false">IF(H4&lt;=3,INDEX(Assumptions!$C$28:$C$30,H4),1)</f>
        <v>1</v>
      </c>
      <c r="I8" s="28" t="n">
        <f aca="false">IF(I4&lt;=3,INDEX(Assumptions!$C$28:$C$30,I4),1)</f>
        <v>1</v>
      </c>
      <c r="J8" s="28" t="n">
        <f aca="false">IF(J4&lt;=3,INDEX(Assumptions!$C$28:$C$30,J4),1)</f>
        <v>1</v>
      </c>
      <c r="K8" s="28" t="n">
        <f aca="false">IF(K4&lt;=3,INDEX(Assumptions!$C$28:$C$30,K4),1)</f>
        <v>1</v>
      </c>
      <c r="L8" s="28" t="n">
        <f aca="false">IF(L4&lt;=3,INDEX(Assumptions!$C$28:$C$30,L4),1)</f>
        <v>1</v>
      </c>
      <c r="M8" s="28" t="n">
        <f aca="false">IF(M4&lt;=3,INDEX(Assumptions!$C$28:$C$30,M4),1)</f>
        <v>1</v>
      </c>
      <c r="N8" s="28" t="n">
        <f aca="false">IF(N4&lt;=3,INDEX(Assumptions!$C$28:$C$30,N4),1)</f>
        <v>1</v>
      </c>
      <c r="O8" s="28" t="n">
        <f aca="false">IF(O4&lt;=3,INDEX(Assumptions!$C$28:$C$30,O4),1)</f>
        <v>1</v>
      </c>
      <c r="P8" s="28" t="n">
        <f aca="false">IF(P4&lt;=3,INDEX(Assumptions!$C$28:$C$30,P4),1)</f>
        <v>1</v>
      </c>
      <c r="Q8" s="28" t="n">
        <f aca="false">IF(Q4&lt;=3,INDEX(Assumptions!$C$28:$C$30,Q4),1)</f>
        <v>1</v>
      </c>
      <c r="R8" s="28" t="n">
        <f aca="false">IF(R4&lt;=3,INDEX(Assumptions!$C$28:$C$30,R4),1)</f>
        <v>1</v>
      </c>
      <c r="S8" s="28" t="n">
        <f aca="false">IF(S4&lt;=3,INDEX(Assumptions!$C$28:$C$30,S4),1)</f>
        <v>1</v>
      </c>
      <c r="T8" s="28" t="n">
        <f aca="false">IF(T4&lt;=3,INDEX(Assumptions!$C$28:$C$30,T4),1)</f>
        <v>1</v>
      </c>
      <c r="U8" s="28" t="n">
        <f aca="false">IF(U4&lt;=3,INDEX(Assumptions!$C$28:$C$30,U4),1)</f>
        <v>1</v>
      </c>
      <c r="V8" s="28" t="n">
        <f aca="false">IF(V4&lt;=3,INDEX(Assumptions!$C$28:$C$30,V4),1)</f>
        <v>1</v>
      </c>
      <c r="W8" s="28" t="n">
        <f aca="false">IF(W4&lt;=3,INDEX(Assumptions!$C$28:$C$30,W4),1)</f>
        <v>1</v>
      </c>
      <c r="X8" s="28" t="n">
        <f aca="false">IF(X4&lt;=3,INDEX(Assumptions!$C$28:$C$30,X4),1)</f>
        <v>1</v>
      </c>
      <c r="Y8" s="28" t="n">
        <f aca="false">IF(Y4&lt;=3,INDEX(Assumptions!$C$28:$C$30,Y4),1)</f>
        <v>1</v>
      </c>
      <c r="Z8" s="28" t="n">
        <f aca="false">IF(Z4&lt;=3,INDEX(Assumptions!$C$28:$C$30,Z4),1)</f>
        <v>1</v>
      </c>
      <c r="AA8" s="28" t="n">
        <f aca="false">IF(AA4&lt;=3,INDEX(Assumptions!$C$28:$C$30,AA4),1)</f>
        <v>1</v>
      </c>
      <c r="AB8" s="28" t="n">
        <f aca="false">IF(AB4&lt;=3,INDEX(Assumptions!$C$28:$C$30,AB4),1)</f>
        <v>1</v>
      </c>
      <c r="AC8" s="28" t="n">
        <f aca="false">IF(AC4&lt;=3,INDEX(Assumptions!$C$28:$C$30,AC4),1)</f>
        <v>1</v>
      </c>
      <c r="AD8" s="28" t="n">
        <f aca="false">IF(AD4&lt;=3,INDEX(Assumptions!$C$28:$C$30,AD4),1)</f>
        <v>1</v>
      </c>
      <c r="AE8" s="28" t="n">
        <f aca="false">IF(AE4&lt;=3,INDEX(Assumptions!$C$28:$C$30,AE4),1)</f>
        <v>1</v>
      </c>
      <c r="AF8" s="28" t="n">
        <f aca="false">IF(AF4&lt;=3,INDEX(Assumptions!$C$28:$C$30,AF4),1)</f>
        <v>1</v>
      </c>
      <c r="AG8" s="28" t="n">
        <f aca="false">IF(AG4&lt;=3,INDEX(Assumptions!$C$28:$C$30,AG4),1)</f>
        <v>1</v>
      </c>
      <c r="AH8" s="28" t="n">
        <f aca="false">IF(AH4&lt;=3,INDEX(Assumptions!$C$28:$C$30,AH4),1)</f>
        <v>1</v>
      </c>
      <c r="AI8" s="28" t="n">
        <f aca="false">IF(AI4&lt;=3,INDEX(Assumptions!$C$28:$C$30,AI4),1)</f>
        <v>1</v>
      </c>
      <c r="AJ8" s="28" t="n">
        <f aca="false">IF(AJ4&lt;=3,INDEX(Assumptions!$C$28:$C$30,AJ4),1)</f>
        <v>1</v>
      </c>
      <c r="AK8" s="28" t="n">
        <f aca="false">IF(AK4&lt;=3,INDEX(Assumptions!$C$28:$C$30,AK4),1)</f>
        <v>1</v>
      </c>
      <c r="AL8" s="28" t="n">
        <f aca="false">IF(AL4&lt;=3,INDEX(Assumptions!$C$28:$C$30,AL4),1)</f>
        <v>1</v>
      </c>
    </row>
    <row r="9" customFormat="false" ht="15" hidden="false" customHeight="false" outlineLevel="0" collapsed="false">
      <c r="A9" s="42" t="s">
        <v>312</v>
      </c>
      <c r="B9" s="43" t="s">
        <v>104</v>
      </c>
      <c r="C9" s="44" t="n">
        <f aca="false">Assumptions!$C$20*Assumptions!$C$21*C8</f>
        <v>6300</v>
      </c>
      <c r="D9" s="44" t="n">
        <f aca="false">Assumptions!$C$20*Assumptions!$C$21*D8</f>
        <v>8400</v>
      </c>
      <c r="E9" s="44" t="n">
        <f aca="false">Assumptions!$C$20*Assumptions!$C$21*E8</f>
        <v>9975</v>
      </c>
      <c r="F9" s="44" t="n">
        <f aca="false">Assumptions!$C$20*Assumptions!$C$21*F8</f>
        <v>10500</v>
      </c>
      <c r="G9" s="44" t="n">
        <f aca="false">Assumptions!$C$20*Assumptions!$C$21*G8</f>
        <v>10500</v>
      </c>
      <c r="H9" s="44" t="n">
        <f aca="false">Assumptions!$C$20*Assumptions!$C$21*H8</f>
        <v>10500</v>
      </c>
      <c r="I9" s="44" t="n">
        <f aca="false">Assumptions!$C$20*Assumptions!$C$21*I8</f>
        <v>10500</v>
      </c>
      <c r="J9" s="44" t="n">
        <f aca="false">Assumptions!$C$20*Assumptions!$C$21*J8</f>
        <v>10500</v>
      </c>
      <c r="K9" s="44" t="n">
        <f aca="false">Assumptions!$C$20*Assumptions!$C$21*K8</f>
        <v>10500</v>
      </c>
      <c r="L9" s="44" t="n">
        <f aca="false">Assumptions!$C$20*Assumptions!$C$21*L8</f>
        <v>10500</v>
      </c>
      <c r="M9" s="44" t="n">
        <f aca="false">Assumptions!$C$20*Assumptions!$C$21*M8</f>
        <v>10500</v>
      </c>
      <c r="N9" s="44" t="n">
        <f aca="false">Assumptions!$C$20*Assumptions!$C$21*N8</f>
        <v>10500</v>
      </c>
      <c r="O9" s="44" t="n">
        <f aca="false">Assumptions!$C$20*Assumptions!$C$21*O8</f>
        <v>10500</v>
      </c>
      <c r="P9" s="44" t="n">
        <f aca="false">Assumptions!$C$20*Assumptions!$C$21*P8</f>
        <v>10500</v>
      </c>
      <c r="Q9" s="44" t="n">
        <f aca="false">Assumptions!$C$20*Assumptions!$C$21*Q8</f>
        <v>10500</v>
      </c>
      <c r="R9" s="44" t="n">
        <f aca="false">Assumptions!$C$20*Assumptions!$C$21*R8</f>
        <v>10500</v>
      </c>
      <c r="S9" s="44" t="n">
        <f aca="false">Assumptions!$C$20*Assumptions!$C$21*S8</f>
        <v>10500</v>
      </c>
      <c r="T9" s="44" t="n">
        <f aca="false">Assumptions!$C$20*Assumptions!$C$21*T8</f>
        <v>10500</v>
      </c>
      <c r="U9" s="44" t="n">
        <f aca="false">Assumptions!$C$20*Assumptions!$C$21*U8</f>
        <v>10500</v>
      </c>
      <c r="V9" s="44" t="n">
        <f aca="false">Assumptions!$C$20*Assumptions!$C$21*V8</f>
        <v>10500</v>
      </c>
      <c r="W9" s="44" t="n">
        <f aca="false">Assumptions!$C$20*Assumptions!$C$21*W8</f>
        <v>10500</v>
      </c>
      <c r="X9" s="44" t="n">
        <f aca="false">Assumptions!$C$20*Assumptions!$C$21*X8</f>
        <v>10500</v>
      </c>
      <c r="Y9" s="44" t="n">
        <f aca="false">Assumptions!$C$20*Assumptions!$C$21*Y8</f>
        <v>10500</v>
      </c>
      <c r="Z9" s="44" t="n">
        <f aca="false">Assumptions!$C$20*Assumptions!$C$21*Z8</f>
        <v>10500</v>
      </c>
      <c r="AA9" s="44" t="n">
        <f aca="false">Assumptions!$C$20*Assumptions!$C$21*AA8</f>
        <v>10500</v>
      </c>
      <c r="AB9" s="44" t="n">
        <f aca="false">Assumptions!$C$20*Assumptions!$C$21*AB8</f>
        <v>10500</v>
      </c>
      <c r="AC9" s="44" t="n">
        <f aca="false">Assumptions!$C$20*Assumptions!$C$21*AC8</f>
        <v>10500</v>
      </c>
      <c r="AD9" s="44" t="n">
        <f aca="false">Assumptions!$C$20*Assumptions!$C$21*AD8</f>
        <v>10500</v>
      </c>
      <c r="AE9" s="44" t="n">
        <f aca="false">Assumptions!$C$20*Assumptions!$C$21*AE8</f>
        <v>10500</v>
      </c>
      <c r="AF9" s="44" t="n">
        <f aca="false">Assumptions!$C$20*Assumptions!$C$21*AF8</f>
        <v>10500</v>
      </c>
      <c r="AG9" s="44" t="n">
        <f aca="false">Assumptions!$C$20*Assumptions!$C$21*AG8</f>
        <v>10500</v>
      </c>
      <c r="AH9" s="44" t="n">
        <f aca="false">Assumptions!$C$20*Assumptions!$C$21*AH8</f>
        <v>10500</v>
      </c>
      <c r="AI9" s="44" t="n">
        <f aca="false">Assumptions!$C$20*Assumptions!$C$21*AI8</f>
        <v>10500</v>
      </c>
      <c r="AJ9" s="44" t="n">
        <f aca="false">Assumptions!$C$20*Assumptions!$C$21*AJ8</f>
        <v>10500</v>
      </c>
      <c r="AK9" s="44" t="n">
        <f aca="false">Assumptions!$C$20*Assumptions!$C$21*AK8</f>
        <v>10500</v>
      </c>
      <c r="AL9" s="44" t="n">
        <f aca="false">Assumptions!$C$20*Assumptions!$C$21*AL8</f>
        <v>10500</v>
      </c>
      <c r="AM9" s="45" t="n">
        <f aca="false">SUMIF($C$5:$AL$5,AM$5,$C9:$AL9)</f>
        <v>119175</v>
      </c>
      <c r="AN9" s="45" t="n">
        <f aca="false">SUMIF($C$5:$AL$5,AN$5,$C9:$AL9)</f>
        <v>126000</v>
      </c>
      <c r="AO9" s="45" t="n">
        <f aca="false">SUMIF($C$5:$AL$5,AO$5,$C9:$AL9)</f>
        <v>126000</v>
      </c>
    </row>
    <row r="10" customFormat="false" ht="15" hidden="false" customHeight="false" outlineLevel="0" collapsed="false">
      <c r="A10" s="10" t="s">
        <v>313</v>
      </c>
      <c r="B10" s="2" t="s">
        <v>104</v>
      </c>
      <c r="C10" s="32" t="n">
        <f aca="false">C9*Assumptions!$C$23</f>
        <v>756</v>
      </c>
      <c r="D10" s="32" t="n">
        <f aca="false">D9*Assumptions!$C$23</f>
        <v>1008</v>
      </c>
      <c r="E10" s="32" t="n">
        <f aca="false">E9*Assumptions!$C$23</f>
        <v>1197</v>
      </c>
      <c r="F10" s="32" t="n">
        <f aca="false">F9*Assumptions!$C$23</f>
        <v>1260</v>
      </c>
      <c r="G10" s="32" t="n">
        <f aca="false">G9*Assumptions!$C$23</f>
        <v>1260</v>
      </c>
      <c r="H10" s="32" t="n">
        <f aca="false">H9*Assumptions!$C$23</f>
        <v>1260</v>
      </c>
      <c r="I10" s="32" t="n">
        <f aca="false">I9*Assumptions!$C$23</f>
        <v>1260</v>
      </c>
      <c r="J10" s="32" t="n">
        <f aca="false">J9*Assumptions!$C$23</f>
        <v>1260</v>
      </c>
      <c r="K10" s="32" t="n">
        <f aca="false">K9*Assumptions!$C$23</f>
        <v>1260</v>
      </c>
      <c r="L10" s="32" t="n">
        <f aca="false">L9*Assumptions!$C$23</f>
        <v>1260</v>
      </c>
      <c r="M10" s="32" t="n">
        <f aca="false">M9*Assumptions!$C$23</f>
        <v>1260</v>
      </c>
      <c r="N10" s="32" t="n">
        <f aca="false">N9*Assumptions!$C$23</f>
        <v>1260</v>
      </c>
      <c r="O10" s="32" t="n">
        <f aca="false">O9*Assumptions!$C$23</f>
        <v>1260</v>
      </c>
      <c r="P10" s="32" t="n">
        <f aca="false">P9*Assumptions!$C$23</f>
        <v>1260</v>
      </c>
      <c r="Q10" s="32" t="n">
        <f aca="false">Q9*Assumptions!$C$23</f>
        <v>1260</v>
      </c>
      <c r="R10" s="32" t="n">
        <f aca="false">R9*Assumptions!$C$23</f>
        <v>1260</v>
      </c>
      <c r="S10" s="32" t="n">
        <f aca="false">S9*Assumptions!$C$23</f>
        <v>1260</v>
      </c>
      <c r="T10" s="32" t="n">
        <f aca="false">T9*Assumptions!$C$23</f>
        <v>1260</v>
      </c>
      <c r="U10" s="32" t="n">
        <f aca="false">U9*Assumptions!$C$23</f>
        <v>1260</v>
      </c>
      <c r="V10" s="32" t="n">
        <f aca="false">V9*Assumptions!$C$23</f>
        <v>1260</v>
      </c>
      <c r="W10" s="32" t="n">
        <f aca="false">W9*Assumptions!$C$23</f>
        <v>1260</v>
      </c>
      <c r="X10" s="32" t="n">
        <f aca="false">X9*Assumptions!$C$23</f>
        <v>1260</v>
      </c>
      <c r="Y10" s="32" t="n">
        <f aca="false">Y9*Assumptions!$C$23</f>
        <v>1260</v>
      </c>
      <c r="Z10" s="32" t="n">
        <f aca="false">Z9*Assumptions!$C$23</f>
        <v>1260</v>
      </c>
      <c r="AA10" s="32" t="n">
        <f aca="false">AA9*Assumptions!$C$23</f>
        <v>1260</v>
      </c>
      <c r="AB10" s="32" t="n">
        <f aca="false">AB9*Assumptions!$C$23</f>
        <v>1260</v>
      </c>
      <c r="AC10" s="32" t="n">
        <f aca="false">AC9*Assumptions!$C$23</f>
        <v>1260</v>
      </c>
      <c r="AD10" s="32" t="n">
        <f aca="false">AD9*Assumptions!$C$23</f>
        <v>1260</v>
      </c>
      <c r="AE10" s="32" t="n">
        <f aca="false">AE9*Assumptions!$C$23</f>
        <v>1260</v>
      </c>
      <c r="AF10" s="32" t="n">
        <f aca="false">AF9*Assumptions!$C$23</f>
        <v>1260</v>
      </c>
      <c r="AG10" s="32" t="n">
        <f aca="false">AG9*Assumptions!$C$23</f>
        <v>1260</v>
      </c>
      <c r="AH10" s="32" t="n">
        <f aca="false">AH9*Assumptions!$C$23</f>
        <v>1260</v>
      </c>
      <c r="AI10" s="32" t="n">
        <f aca="false">AI9*Assumptions!$C$23</f>
        <v>1260</v>
      </c>
      <c r="AJ10" s="32" t="n">
        <f aca="false">AJ9*Assumptions!$C$23</f>
        <v>1260</v>
      </c>
      <c r="AK10" s="32" t="n">
        <f aca="false">AK9*Assumptions!$C$23</f>
        <v>1260</v>
      </c>
      <c r="AL10" s="32" t="n">
        <f aca="false">AL9*Assumptions!$C$23</f>
        <v>1260</v>
      </c>
      <c r="AM10" s="46" t="n">
        <f aca="false">SUMIF($C$5:$AL$5,AM$5,$C10:$AL10)</f>
        <v>14301</v>
      </c>
      <c r="AN10" s="46" t="n">
        <f aca="false">SUMIF($C$5:$AL$5,AN$5,$C10:$AL10)</f>
        <v>15120</v>
      </c>
      <c r="AO10" s="46" t="n">
        <f aca="false">SUMIF($C$5:$AL$5,AO$5,$C10:$AL10)</f>
        <v>15120</v>
      </c>
    </row>
    <row r="11" customFormat="false" ht="15" hidden="false" customHeight="false" outlineLevel="0" collapsed="false">
      <c r="A11" s="42" t="s">
        <v>314</v>
      </c>
      <c r="B11" s="43" t="s">
        <v>104</v>
      </c>
      <c r="C11" s="44" t="n">
        <f aca="false">C9-C10</f>
        <v>5544</v>
      </c>
      <c r="D11" s="44" t="n">
        <f aca="false">D9-D10</f>
        <v>7392</v>
      </c>
      <c r="E11" s="44" t="n">
        <f aca="false">E9-E10</f>
        <v>8778</v>
      </c>
      <c r="F11" s="44" t="n">
        <f aca="false">F9-F10</f>
        <v>9240</v>
      </c>
      <c r="G11" s="44" t="n">
        <f aca="false">G9-G10</f>
        <v>9240</v>
      </c>
      <c r="H11" s="44" t="n">
        <f aca="false">H9-H10</f>
        <v>9240</v>
      </c>
      <c r="I11" s="44" t="n">
        <f aca="false">I9-I10</f>
        <v>9240</v>
      </c>
      <c r="J11" s="44" t="n">
        <f aca="false">J9-J10</f>
        <v>9240</v>
      </c>
      <c r="K11" s="44" t="n">
        <f aca="false">K9-K10</f>
        <v>9240</v>
      </c>
      <c r="L11" s="44" t="n">
        <f aca="false">L9-L10</f>
        <v>9240</v>
      </c>
      <c r="M11" s="44" t="n">
        <f aca="false">M9-M10</f>
        <v>9240</v>
      </c>
      <c r="N11" s="44" t="n">
        <f aca="false">N9-N10</f>
        <v>9240</v>
      </c>
      <c r="O11" s="44" t="n">
        <f aca="false">O9-O10</f>
        <v>9240</v>
      </c>
      <c r="P11" s="44" t="n">
        <f aca="false">P9-P10</f>
        <v>9240</v>
      </c>
      <c r="Q11" s="44" t="n">
        <f aca="false">Q9-Q10</f>
        <v>9240</v>
      </c>
      <c r="R11" s="44" t="n">
        <f aca="false">R9-R10</f>
        <v>9240</v>
      </c>
      <c r="S11" s="44" t="n">
        <f aca="false">S9-S10</f>
        <v>9240</v>
      </c>
      <c r="T11" s="44" t="n">
        <f aca="false">T9-T10</f>
        <v>9240</v>
      </c>
      <c r="U11" s="44" t="n">
        <f aca="false">U9-U10</f>
        <v>9240</v>
      </c>
      <c r="V11" s="44" t="n">
        <f aca="false">V9-V10</f>
        <v>9240</v>
      </c>
      <c r="W11" s="44" t="n">
        <f aca="false">W9-W10</f>
        <v>9240</v>
      </c>
      <c r="X11" s="44" t="n">
        <f aca="false">X9-X10</f>
        <v>9240</v>
      </c>
      <c r="Y11" s="44" t="n">
        <f aca="false">Y9-Y10</f>
        <v>9240</v>
      </c>
      <c r="Z11" s="44" t="n">
        <f aca="false">Z9-Z10</f>
        <v>9240</v>
      </c>
      <c r="AA11" s="44" t="n">
        <f aca="false">AA9-AA10</f>
        <v>9240</v>
      </c>
      <c r="AB11" s="44" t="n">
        <f aca="false">AB9-AB10</f>
        <v>9240</v>
      </c>
      <c r="AC11" s="44" t="n">
        <f aca="false">AC9-AC10</f>
        <v>9240</v>
      </c>
      <c r="AD11" s="44" t="n">
        <f aca="false">AD9-AD10</f>
        <v>9240</v>
      </c>
      <c r="AE11" s="44" t="n">
        <f aca="false">AE9-AE10</f>
        <v>9240</v>
      </c>
      <c r="AF11" s="44" t="n">
        <f aca="false">AF9-AF10</f>
        <v>9240</v>
      </c>
      <c r="AG11" s="44" t="n">
        <f aca="false">AG9-AG10</f>
        <v>9240</v>
      </c>
      <c r="AH11" s="44" t="n">
        <f aca="false">AH9-AH10</f>
        <v>9240</v>
      </c>
      <c r="AI11" s="44" t="n">
        <f aca="false">AI9-AI10</f>
        <v>9240</v>
      </c>
      <c r="AJ11" s="44" t="n">
        <f aca="false">AJ9-AJ10</f>
        <v>9240</v>
      </c>
      <c r="AK11" s="44" t="n">
        <f aca="false">AK9-AK10</f>
        <v>9240</v>
      </c>
      <c r="AL11" s="44" t="n">
        <f aca="false">AL9-AL10</f>
        <v>9240</v>
      </c>
      <c r="AM11" s="45" t="n">
        <f aca="false">SUMIF($C$5:$AL$5,AM$5,$C11:$AL11)</f>
        <v>104874</v>
      </c>
      <c r="AN11" s="45" t="n">
        <f aca="false">SUMIF($C$5:$AL$5,AN$5,$C11:$AL11)</f>
        <v>110880</v>
      </c>
      <c r="AO11" s="45" t="n">
        <f aca="false">SUMIF($C$5:$AL$5,AO$5,$C11:$AL11)</f>
        <v>110880</v>
      </c>
    </row>
    <row r="13" customFormat="false" ht="15" hidden="false" customHeight="false" outlineLevel="0" collapsed="false">
      <c r="A13" s="40" t="s">
        <v>315</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row>
    <row r="14" customFormat="false" ht="15" hidden="false" customHeight="false" outlineLevel="0" collapsed="false">
      <c r="A14" s="10" t="s">
        <v>316</v>
      </c>
      <c r="B14" s="2"/>
      <c r="C14" s="47" t="n">
        <f aca="false">IF(C5=1,1,IF(C5=2,1+Assumptions!$C$26,(1+Assumptions!$C$26)*(1+Assumptions!$C$27)))</f>
        <v>1</v>
      </c>
      <c r="D14" s="47" t="n">
        <f aca="false">IF(D5=1,1,IF(D5=2,1+Assumptions!$C$26,(1+Assumptions!$C$26)*(1+Assumptions!$C$27)))</f>
        <v>1</v>
      </c>
      <c r="E14" s="47" t="n">
        <f aca="false">IF(E5=1,1,IF(E5=2,1+Assumptions!$C$26,(1+Assumptions!$C$26)*(1+Assumptions!$C$27)))</f>
        <v>1</v>
      </c>
      <c r="F14" s="47" t="n">
        <f aca="false">IF(F5=1,1,IF(F5=2,1+Assumptions!$C$26,(1+Assumptions!$C$26)*(1+Assumptions!$C$27)))</f>
        <v>1</v>
      </c>
      <c r="G14" s="47" t="n">
        <f aca="false">IF(G5=1,1,IF(G5=2,1+Assumptions!$C$26,(1+Assumptions!$C$26)*(1+Assumptions!$C$27)))</f>
        <v>1</v>
      </c>
      <c r="H14" s="47" t="n">
        <f aca="false">IF(H5=1,1,IF(H5=2,1+Assumptions!$C$26,(1+Assumptions!$C$26)*(1+Assumptions!$C$27)))</f>
        <v>1</v>
      </c>
      <c r="I14" s="47" t="n">
        <f aca="false">IF(I5=1,1,IF(I5=2,1+Assumptions!$C$26,(1+Assumptions!$C$26)*(1+Assumptions!$C$27)))</f>
        <v>1</v>
      </c>
      <c r="J14" s="47" t="n">
        <f aca="false">IF(J5=1,1,IF(J5=2,1+Assumptions!$C$26,(1+Assumptions!$C$26)*(1+Assumptions!$C$27)))</f>
        <v>1</v>
      </c>
      <c r="K14" s="47" t="n">
        <f aca="false">IF(K5=1,1,IF(K5=2,1+Assumptions!$C$26,(1+Assumptions!$C$26)*(1+Assumptions!$C$27)))</f>
        <v>1</v>
      </c>
      <c r="L14" s="47" t="n">
        <f aca="false">IF(L5=1,1,IF(L5=2,1+Assumptions!$C$26,(1+Assumptions!$C$26)*(1+Assumptions!$C$27)))</f>
        <v>1</v>
      </c>
      <c r="M14" s="47" t="n">
        <f aca="false">IF(M5=1,1,IF(M5=2,1+Assumptions!$C$26,(1+Assumptions!$C$26)*(1+Assumptions!$C$27)))</f>
        <v>1</v>
      </c>
      <c r="N14" s="47" t="n">
        <f aca="false">IF(N5=1,1,IF(N5=2,1+Assumptions!$C$26,(1+Assumptions!$C$26)*(1+Assumptions!$C$27)))</f>
        <v>1</v>
      </c>
      <c r="O14" s="47" t="n">
        <f aca="false">IF(O5=1,1,IF(O5=2,1+Assumptions!$C$26,(1+Assumptions!$C$26)*(1+Assumptions!$C$27)))</f>
        <v>1.02</v>
      </c>
      <c r="P14" s="47" t="n">
        <f aca="false">IF(P5=1,1,IF(P5=2,1+Assumptions!$C$26,(1+Assumptions!$C$26)*(1+Assumptions!$C$27)))</f>
        <v>1.02</v>
      </c>
      <c r="Q14" s="47" t="n">
        <f aca="false">IF(Q5=1,1,IF(Q5=2,1+Assumptions!$C$26,(1+Assumptions!$C$26)*(1+Assumptions!$C$27)))</f>
        <v>1.02</v>
      </c>
      <c r="R14" s="47" t="n">
        <f aca="false">IF(R5=1,1,IF(R5=2,1+Assumptions!$C$26,(1+Assumptions!$C$26)*(1+Assumptions!$C$27)))</f>
        <v>1.02</v>
      </c>
      <c r="S14" s="47" t="n">
        <f aca="false">IF(S5=1,1,IF(S5=2,1+Assumptions!$C$26,(1+Assumptions!$C$26)*(1+Assumptions!$C$27)))</f>
        <v>1.02</v>
      </c>
      <c r="T14" s="47" t="n">
        <f aca="false">IF(T5=1,1,IF(T5=2,1+Assumptions!$C$26,(1+Assumptions!$C$26)*(1+Assumptions!$C$27)))</f>
        <v>1.02</v>
      </c>
      <c r="U14" s="47" t="n">
        <f aca="false">IF(U5=1,1,IF(U5=2,1+Assumptions!$C$26,(1+Assumptions!$C$26)*(1+Assumptions!$C$27)))</f>
        <v>1.02</v>
      </c>
      <c r="V14" s="47" t="n">
        <f aca="false">IF(V5=1,1,IF(V5=2,1+Assumptions!$C$26,(1+Assumptions!$C$26)*(1+Assumptions!$C$27)))</f>
        <v>1.02</v>
      </c>
      <c r="W14" s="47" t="n">
        <f aca="false">IF(W5=1,1,IF(W5=2,1+Assumptions!$C$26,(1+Assumptions!$C$26)*(1+Assumptions!$C$27)))</f>
        <v>1.02</v>
      </c>
      <c r="X14" s="47" t="n">
        <f aca="false">IF(X5=1,1,IF(X5=2,1+Assumptions!$C$26,(1+Assumptions!$C$26)*(1+Assumptions!$C$27)))</f>
        <v>1.02</v>
      </c>
      <c r="Y14" s="47" t="n">
        <f aca="false">IF(Y5=1,1,IF(Y5=2,1+Assumptions!$C$26,(1+Assumptions!$C$26)*(1+Assumptions!$C$27)))</f>
        <v>1.02</v>
      </c>
      <c r="Z14" s="47" t="n">
        <f aca="false">IF(Z5=1,1,IF(Z5=2,1+Assumptions!$C$26,(1+Assumptions!$C$26)*(1+Assumptions!$C$27)))</f>
        <v>1.02</v>
      </c>
      <c r="AA14" s="47" t="n">
        <f aca="false">IF(AA5=1,1,IF(AA5=2,1+Assumptions!$C$26,(1+Assumptions!$C$26)*(1+Assumptions!$C$27)))</f>
        <v>1.0404</v>
      </c>
      <c r="AB14" s="47" t="n">
        <f aca="false">IF(AB5=1,1,IF(AB5=2,1+Assumptions!$C$26,(1+Assumptions!$C$26)*(1+Assumptions!$C$27)))</f>
        <v>1.0404</v>
      </c>
      <c r="AC14" s="47" t="n">
        <f aca="false">IF(AC5=1,1,IF(AC5=2,1+Assumptions!$C$26,(1+Assumptions!$C$26)*(1+Assumptions!$C$27)))</f>
        <v>1.0404</v>
      </c>
      <c r="AD14" s="47" t="n">
        <f aca="false">IF(AD5=1,1,IF(AD5=2,1+Assumptions!$C$26,(1+Assumptions!$C$26)*(1+Assumptions!$C$27)))</f>
        <v>1.0404</v>
      </c>
      <c r="AE14" s="47" t="n">
        <f aca="false">IF(AE5=1,1,IF(AE5=2,1+Assumptions!$C$26,(1+Assumptions!$C$26)*(1+Assumptions!$C$27)))</f>
        <v>1.0404</v>
      </c>
      <c r="AF14" s="47" t="n">
        <f aca="false">IF(AF5=1,1,IF(AF5=2,1+Assumptions!$C$26,(1+Assumptions!$C$26)*(1+Assumptions!$C$27)))</f>
        <v>1.0404</v>
      </c>
      <c r="AG14" s="47" t="n">
        <f aca="false">IF(AG5=1,1,IF(AG5=2,1+Assumptions!$C$26,(1+Assumptions!$C$26)*(1+Assumptions!$C$27)))</f>
        <v>1.0404</v>
      </c>
      <c r="AH14" s="47" t="n">
        <f aca="false">IF(AH5=1,1,IF(AH5=2,1+Assumptions!$C$26,(1+Assumptions!$C$26)*(1+Assumptions!$C$27)))</f>
        <v>1.0404</v>
      </c>
      <c r="AI14" s="47" t="n">
        <f aca="false">IF(AI5=1,1,IF(AI5=2,1+Assumptions!$C$26,(1+Assumptions!$C$26)*(1+Assumptions!$C$27)))</f>
        <v>1.0404</v>
      </c>
      <c r="AJ14" s="47" t="n">
        <f aca="false">IF(AJ5=1,1,IF(AJ5=2,1+Assumptions!$C$26,(1+Assumptions!$C$26)*(1+Assumptions!$C$27)))</f>
        <v>1.0404</v>
      </c>
      <c r="AK14" s="47" t="n">
        <f aca="false">IF(AK5=1,1,IF(AK5=2,1+Assumptions!$C$26,(1+Assumptions!$C$26)*(1+Assumptions!$C$27)))</f>
        <v>1.0404</v>
      </c>
      <c r="AL14" s="47" t="n">
        <f aca="false">IF(AL5=1,1,IF(AL5=2,1+Assumptions!$C$26,(1+Assumptions!$C$26)*(1+Assumptions!$C$27)))</f>
        <v>1.0404</v>
      </c>
    </row>
    <row r="15" customFormat="false" ht="15" hidden="false" customHeight="false" outlineLevel="0" collapsed="false">
      <c r="A15" s="10" t="s">
        <v>317</v>
      </c>
      <c r="B15" s="2" t="s">
        <v>111</v>
      </c>
      <c r="C15" s="48" t="n">
        <f aca="false">Assumptions!$C$24*C14</f>
        <v>2.5</v>
      </c>
      <c r="D15" s="48" t="n">
        <f aca="false">Assumptions!$C$24*D14</f>
        <v>2.5</v>
      </c>
      <c r="E15" s="48" t="n">
        <f aca="false">Assumptions!$C$24*E14</f>
        <v>2.5</v>
      </c>
      <c r="F15" s="48" t="n">
        <f aca="false">Assumptions!$C$24*F14</f>
        <v>2.5</v>
      </c>
      <c r="G15" s="48" t="n">
        <f aca="false">Assumptions!$C$24*G14</f>
        <v>2.5</v>
      </c>
      <c r="H15" s="48" t="n">
        <f aca="false">Assumptions!$C$24*H14</f>
        <v>2.5</v>
      </c>
      <c r="I15" s="48" t="n">
        <f aca="false">Assumptions!$C$24*I14</f>
        <v>2.5</v>
      </c>
      <c r="J15" s="48" t="n">
        <f aca="false">Assumptions!$C$24*J14</f>
        <v>2.5</v>
      </c>
      <c r="K15" s="48" t="n">
        <f aca="false">Assumptions!$C$24*K14</f>
        <v>2.5</v>
      </c>
      <c r="L15" s="48" t="n">
        <f aca="false">Assumptions!$C$24*L14</f>
        <v>2.5</v>
      </c>
      <c r="M15" s="48" t="n">
        <f aca="false">Assumptions!$C$24*M14</f>
        <v>2.5</v>
      </c>
      <c r="N15" s="48" t="n">
        <f aca="false">Assumptions!$C$24*N14</f>
        <v>2.5</v>
      </c>
      <c r="O15" s="48" t="n">
        <f aca="false">Assumptions!$C$24*O14</f>
        <v>2.55</v>
      </c>
      <c r="P15" s="48" t="n">
        <f aca="false">Assumptions!$C$24*P14</f>
        <v>2.55</v>
      </c>
      <c r="Q15" s="48" t="n">
        <f aca="false">Assumptions!$C$24*Q14</f>
        <v>2.55</v>
      </c>
      <c r="R15" s="48" t="n">
        <f aca="false">Assumptions!$C$24*R14</f>
        <v>2.55</v>
      </c>
      <c r="S15" s="48" t="n">
        <f aca="false">Assumptions!$C$24*S14</f>
        <v>2.55</v>
      </c>
      <c r="T15" s="48" t="n">
        <f aca="false">Assumptions!$C$24*T14</f>
        <v>2.55</v>
      </c>
      <c r="U15" s="48" t="n">
        <f aca="false">Assumptions!$C$24*U14</f>
        <v>2.55</v>
      </c>
      <c r="V15" s="48" t="n">
        <f aca="false">Assumptions!$C$24*V14</f>
        <v>2.55</v>
      </c>
      <c r="W15" s="48" t="n">
        <f aca="false">Assumptions!$C$24*W14</f>
        <v>2.55</v>
      </c>
      <c r="X15" s="48" t="n">
        <f aca="false">Assumptions!$C$24*X14</f>
        <v>2.55</v>
      </c>
      <c r="Y15" s="48" t="n">
        <f aca="false">Assumptions!$C$24*Y14</f>
        <v>2.55</v>
      </c>
      <c r="Z15" s="48" t="n">
        <f aca="false">Assumptions!$C$24*Z14</f>
        <v>2.55</v>
      </c>
      <c r="AA15" s="48" t="n">
        <f aca="false">Assumptions!$C$24*AA14</f>
        <v>2.601</v>
      </c>
      <c r="AB15" s="48" t="n">
        <f aca="false">Assumptions!$C$24*AB14</f>
        <v>2.601</v>
      </c>
      <c r="AC15" s="48" t="n">
        <f aca="false">Assumptions!$C$24*AC14</f>
        <v>2.601</v>
      </c>
      <c r="AD15" s="48" t="n">
        <f aca="false">Assumptions!$C$24*AD14</f>
        <v>2.601</v>
      </c>
      <c r="AE15" s="48" t="n">
        <f aca="false">Assumptions!$C$24*AE14</f>
        <v>2.601</v>
      </c>
      <c r="AF15" s="48" t="n">
        <f aca="false">Assumptions!$C$24*AF14</f>
        <v>2.601</v>
      </c>
      <c r="AG15" s="48" t="n">
        <f aca="false">Assumptions!$C$24*AG14</f>
        <v>2.601</v>
      </c>
      <c r="AH15" s="48" t="n">
        <f aca="false">Assumptions!$C$24*AH14</f>
        <v>2.601</v>
      </c>
      <c r="AI15" s="48" t="n">
        <f aca="false">Assumptions!$C$24*AI14</f>
        <v>2.601</v>
      </c>
      <c r="AJ15" s="48" t="n">
        <f aca="false">Assumptions!$C$24*AJ14</f>
        <v>2.601</v>
      </c>
      <c r="AK15" s="48" t="n">
        <f aca="false">Assumptions!$C$24*AK14</f>
        <v>2.601</v>
      </c>
      <c r="AL15" s="48" t="n">
        <f aca="false">Assumptions!$C$24*AL14</f>
        <v>2.601</v>
      </c>
      <c r="AM15" s="49" t="n">
        <f aca="false">IF(AM11=0,0,AM18/AM11)</f>
        <v>2.5</v>
      </c>
      <c r="AN15" s="49" t="n">
        <f aca="false">IF(AN11=0,0,AN18/AN11)</f>
        <v>2.55</v>
      </c>
      <c r="AO15" s="49" t="n">
        <f aca="false">IF(AO11=0,0,AO18/AO11)</f>
        <v>2.601</v>
      </c>
    </row>
    <row r="17" customFormat="false" ht="15" hidden="false" customHeight="false" outlineLevel="0" collapsed="false">
      <c r="A17" s="40" t="s">
        <v>31</v>
      </c>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row>
    <row r="18" customFormat="false" ht="15" hidden="false" customHeight="false" outlineLevel="0" collapsed="false">
      <c r="A18" s="10" t="s">
        <v>318</v>
      </c>
      <c r="B18" s="2"/>
      <c r="C18" s="31" t="n">
        <f aca="false">C11*C15</f>
        <v>13860</v>
      </c>
      <c r="D18" s="31" t="n">
        <f aca="false">D11*D15</f>
        <v>18480</v>
      </c>
      <c r="E18" s="31" t="n">
        <f aca="false">E11*E15</f>
        <v>21945</v>
      </c>
      <c r="F18" s="31" t="n">
        <f aca="false">F11*F15</f>
        <v>23100</v>
      </c>
      <c r="G18" s="31" t="n">
        <f aca="false">G11*G15</f>
        <v>23100</v>
      </c>
      <c r="H18" s="31" t="n">
        <f aca="false">H11*H15</f>
        <v>23100</v>
      </c>
      <c r="I18" s="31" t="n">
        <f aca="false">I11*I15</f>
        <v>23100</v>
      </c>
      <c r="J18" s="31" t="n">
        <f aca="false">J11*J15</f>
        <v>23100</v>
      </c>
      <c r="K18" s="31" t="n">
        <f aca="false">K11*K15</f>
        <v>23100</v>
      </c>
      <c r="L18" s="31" t="n">
        <f aca="false">L11*L15</f>
        <v>23100</v>
      </c>
      <c r="M18" s="31" t="n">
        <f aca="false">M11*M15</f>
        <v>23100</v>
      </c>
      <c r="N18" s="31" t="n">
        <f aca="false">N11*N15</f>
        <v>23100</v>
      </c>
      <c r="O18" s="31" t="n">
        <f aca="false">O11*O15</f>
        <v>23562</v>
      </c>
      <c r="P18" s="31" t="n">
        <f aca="false">P11*P15</f>
        <v>23562</v>
      </c>
      <c r="Q18" s="31" t="n">
        <f aca="false">Q11*Q15</f>
        <v>23562</v>
      </c>
      <c r="R18" s="31" t="n">
        <f aca="false">R11*R15</f>
        <v>23562</v>
      </c>
      <c r="S18" s="31" t="n">
        <f aca="false">S11*S15</f>
        <v>23562</v>
      </c>
      <c r="T18" s="31" t="n">
        <f aca="false">T11*T15</f>
        <v>23562</v>
      </c>
      <c r="U18" s="31" t="n">
        <f aca="false">U11*U15</f>
        <v>23562</v>
      </c>
      <c r="V18" s="31" t="n">
        <f aca="false">V11*V15</f>
        <v>23562</v>
      </c>
      <c r="W18" s="31" t="n">
        <f aca="false">W11*W15</f>
        <v>23562</v>
      </c>
      <c r="X18" s="31" t="n">
        <f aca="false">X11*X15</f>
        <v>23562</v>
      </c>
      <c r="Y18" s="31" t="n">
        <f aca="false">Y11*Y15</f>
        <v>23562</v>
      </c>
      <c r="Z18" s="31" t="n">
        <f aca="false">Z11*Z15</f>
        <v>23562</v>
      </c>
      <c r="AA18" s="31" t="n">
        <f aca="false">AA11*AA15</f>
        <v>24033.24</v>
      </c>
      <c r="AB18" s="31" t="n">
        <f aca="false">AB11*AB15</f>
        <v>24033.24</v>
      </c>
      <c r="AC18" s="31" t="n">
        <f aca="false">AC11*AC15</f>
        <v>24033.24</v>
      </c>
      <c r="AD18" s="31" t="n">
        <f aca="false">AD11*AD15</f>
        <v>24033.24</v>
      </c>
      <c r="AE18" s="31" t="n">
        <f aca="false">AE11*AE15</f>
        <v>24033.24</v>
      </c>
      <c r="AF18" s="31" t="n">
        <f aca="false">AF11*AF15</f>
        <v>24033.24</v>
      </c>
      <c r="AG18" s="31" t="n">
        <f aca="false">AG11*AG15</f>
        <v>24033.24</v>
      </c>
      <c r="AH18" s="31" t="n">
        <f aca="false">AH11*AH15</f>
        <v>24033.24</v>
      </c>
      <c r="AI18" s="31" t="n">
        <f aca="false">AI11*AI15</f>
        <v>24033.24</v>
      </c>
      <c r="AJ18" s="31" t="n">
        <f aca="false">AJ11*AJ15</f>
        <v>24033.24</v>
      </c>
      <c r="AK18" s="31" t="n">
        <f aca="false">AK11*AK15</f>
        <v>24033.24</v>
      </c>
      <c r="AL18" s="31" t="n">
        <f aca="false">AL11*AL15</f>
        <v>24033.24</v>
      </c>
      <c r="AM18" s="50" t="n">
        <f aca="false">SUMIF($C$5:$AL$5,AM$5,$C18:$AL18)</f>
        <v>262185</v>
      </c>
      <c r="AN18" s="50" t="n">
        <f aca="false">SUMIF($C$5:$AL$5,AN$5,$C18:$AL18)</f>
        <v>282744</v>
      </c>
      <c r="AO18" s="50" t="n">
        <f aca="false">SUMIF($C$5:$AL$5,AO$5,$C18:$AL18)</f>
        <v>288398.88</v>
      </c>
    </row>
    <row r="19" customFormat="false" ht="15" hidden="false" customHeight="false" outlineLevel="0" collapsed="false">
      <c r="A19" s="10" t="s">
        <v>319</v>
      </c>
      <c r="B19" s="2"/>
      <c r="C19" s="31" t="n">
        <f aca="false">C11*Assumptions!$C$25</f>
        <v>0</v>
      </c>
      <c r="D19" s="31" t="n">
        <f aca="false">D11*Assumptions!$C$25</f>
        <v>0</v>
      </c>
      <c r="E19" s="31" t="n">
        <f aca="false">E11*Assumptions!$C$25</f>
        <v>0</v>
      </c>
      <c r="F19" s="31" t="n">
        <f aca="false">F11*Assumptions!$C$25</f>
        <v>0</v>
      </c>
      <c r="G19" s="31" t="n">
        <f aca="false">G11*Assumptions!$C$25</f>
        <v>0</v>
      </c>
      <c r="H19" s="31" t="n">
        <f aca="false">H11*Assumptions!$C$25</f>
        <v>0</v>
      </c>
      <c r="I19" s="31" t="n">
        <f aca="false">I11*Assumptions!$C$25</f>
        <v>0</v>
      </c>
      <c r="J19" s="31" t="n">
        <f aca="false">J11*Assumptions!$C$25</f>
        <v>0</v>
      </c>
      <c r="K19" s="31" t="n">
        <f aca="false">K11*Assumptions!$C$25</f>
        <v>0</v>
      </c>
      <c r="L19" s="31" t="n">
        <f aca="false">L11*Assumptions!$C$25</f>
        <v>0</v>
      </c>
      <c r="M19" s="31" t="n">
        <f aca="false">M11*Assumptions!$C$25</f>
        <v>0</v>
      </c>
      <c r="N19" s="31" t="n">
        <f aca="false">N11*Assumptions!$C$25</f>
        <v>0</v>
      </c>
      <c r="O19" s="31" t="n">
        <f aca="false">O11*Assumptions!$C$25</f>
        <v>0</v>
      </c>
      <c r="P19" s="31" t="n">
        <f aca="false">P11*Assumptions!$C$25</f>
        <v>0</v>
      </c>
      <c r="Q19" s="31" t="n">
        <f aca="false">Q11*Assumptions!$C$25</f>
        <v>0</v>
      </c>
      <c r="R19" s="31" t="n">
        <f aca="false">R11*Assumptions!$C$25</f>
        <v>0</v>
      </c>
      <c r="S19" s="31" t="n">
        <f aca="false">S11*Assumptions!$C$25</f>
        <v>0</v>
      </c>
      <c r="T19" s="31" t="n">
        <f aca="false">T11*Assumptions!$C$25</f>
        <v>0</v>
      </c>
      <c r="U19" s="31" t="n">
        <f aca="false">U11*Assumptions!$C$25</f>
        <v>0</v>
      </c>
      <c r="V19" s="31" t="n">
        <f aca="false">V11*Assumptions!$C$25</f>
        <v>0</v>
      </c>
      <c r="W19" s="31" t="n">
        <f aca="false">W11*Assumptions!$C$25</f>
        <v>0</v>
      </c>
      <c r="X19" s="31" t="n">
        <f aca="false">X11*Assumptions!$C$25</f>
        <v>0</v>
      </c>
      <c r="Y19" s="31" t="n">
        <f aca="false">Y11*Assumptions!$C$25</f>
        <v>0</v>
      </c>
      <c r="Z19" s="31" t="n">
        <f aca="false">Z11*Assumptions!$C$25</f>
        <v>0</v>
      </c>
      <c r="AA19" s="31" t="n">
        <f aca="false">AA11*Assumptions!$C$25</f>
        <v>0</v>
      </c>
      <c r="AB19" s="31" t="n">
        <f aca="false">AB11*Assumptions!$C$25</f>
        <v>0</v>
      </c>
      <c r="AC19" s="31" t="n">
        <f aca="false">AC11*Assumptions!$C$25</f>
        <v>0</v>
      </c>
      <c r="AD19" s="31" t="n">
        <f aca="false">AD11*Assumptions!$C$25</f>
        <v>0</v>
      </c>
      <c r="AE19" s="31" t="n">
        <f aca="false">AE11*Assumptions!$C$25</f>
        <v>0</v>
      </c>
      <c r="AF19" s="31" t="n">
        <f aca="false">AF11*Assumptions!$C$25</f>
        <v>0</v>
      </c>
      <c r="AG19" s="31" t="n">
        <f aca="false">AG11*Assumptions!$C$25</f>
        <v>0</v>
      </c>
      <c r="AH19" s="31" t="n">
        <f aca="false">AH11*Assumptions!$C$25</f>
        <v>0</v>
      </c>
      <c r="AI19" s="31" t="n">
        <f aca="false">AI11*Assumptions!$C$25</f>
        <v>0</v>
      </c>
      <c r="AJ19" s="31" t="n">
        <f aca="false">AJ11*Assumptions!$C$25</f>
        <v>0</v>
      </c>
      <c r="AK19" s="31" t="n">
        <f aca="false">AK11*Assumptions!$C$25</f>
        <v>0</v>
      </c>
      <c r="AL19" s="31" t="n">
        <f aca="false">AL11*Assumptions!$C$25</f>
        <v>0</v>
      </c>
      <c r="AM19" s="50" t="n">
        <f aca="false">SUMIF($C$5:$AL$5,AM$5,$C19:$AL19)</f>
        <v>0</v>
      </c>
      <c r="AN19" s="50" t="n">
        <f aca="false">SUMIF($C$5:$AL$5,AN$5,$C19:$AL19)</f>
        <v>0</v>
      </c>
      <c r="AO19" s="50" t="n">
        <f aca="false">SUMIF($C$5:$AL$5,AO$5,$C19:$AL19)</f>
        <v>0</v>
      </c>
    </row>
    <row r="20" customFormat="false" ht="15" hidden="false" customHeight="false" outlineLevel="0" collapsed="false">
      <c r="A20" s="42" t="s">
        <v>320</v>
      </c>
      <c r="B20" s="43"/>
      <c r="C20" s="51" t="n">
        <f aca="false">C18+C19</f>
        <v>13860</v>
      </c>
      <c r="D20" s="51" t="n">
        <f aca="false">D18+D19</f>
        <v>18480</v>
      </c>
      <c r="E20" s="51" t="n">
        <f aca="false">E18+E19</f>
        <v>21945</v>
      </c>
      <c r="F20" s="51" t="n">
        <f aca="false">F18+F19</f>
        <v>23100</v>
      </c>
      <c r="G20" s="51" t="n">
        <f aca="false">G18+G19</f>
        <v>23100</v>
      </c>
      <c r="H20" s="51" t="n">
        <f aca="false">H18+H19</f>
        <v>23100</v>
      </c>
      <c r="I20" s="51" t="n">
        <f aca="false">I18+I19</f>
        <v>23100</v>
      </c>
      <c r="J20" s="51" t="n">
        <f aca="false">J18+J19</f>
        <v>23100</v>
      </c>
      <c r="K20" s="51" t="n">
        <f aca="false">K18+K19</f>
        <v>23100</v>
      </c>
      <c r="L20" s="51" t="n">
        <f aca="false">L18+L19</f>
        <v>23100</v>
      </c>
      <c r="M20" s="51" t="n">
        <f aca="false">M18+M19</f>
        <v>23100</v>
      </c>
      <c r="N20" s="51" t="n">
        <f aca="false">N18+N19</f>
        <v>23100</v>
      </c>
      <c r="O20" s="51" t="n">
        <f aca="false">O18+O19</f>
        <v>23562</v>
      </c>
      <c r="P20" s="51" t="n">
        <f aca="false">P18+P19</f>
        <v>23562</v>
      </c>
      <c r="Q20" s="51" t="n">
        <f aca="false">Q18+Q19</f>
        <v>23562</v>
      </c>
      <c r="R20" s="51" t="n">
        <f aca="false">R18+R19</f>
        <v>23562</v>
      </c>
      <c r="S20" s="51" t="n">
        <f aca="false">S18+S19</f>
        <v>23562</v>
      </c>
      <c r="T20" s="51" t="n">
        <f aca="false">T18+T19</f>
        <v>23562</v>
      </c>
      <c r="U20" s="51" t="n">
        <f aca="false">U18+U19</f>
        <v>23562</v>
      </c>
      <c r="V20" s="51" t="n">
        <f aca="false">V18+V19</f>
        <v>23562</v>
      </c>
      <c r="W20" s="51" t="n">
        <f aca="false">W18+W19</f>
        <v>23562</v>
      </c>
      <c r="X20" s="51" t="n">
        <f aca="false">X18+X19</f>
        <v>23562</v>
      </c>
      <c r="Y20" s="51" t="n">
        <f aca="false">Y18+Y19</f>
        <v>23562</v>
      </c>
      <c r="Z20" s="51" t="n">
        <f aca="false">Z18+Z19</f>
        <v>23562</v>
      </c>
      <c r="AA20" s="51" t="n">
        <f aca="false">AA18+AA19</f>
        <v>24033.24</v>
      </c>
      <c r="AB20" s="51" t="n">
        <f aca="false">AB18+AB19</f>
        <v>24033.24</v>
      </c>
      <c r="AC20" s="51" t="n">
        <f aca="false">AC18+AC19</f>
        <v>24033.24</v>
      </c>
      <c r="AD20" s="51" t="n">
        <f aca="false">AD18+AD19</f>
        <v>24033.24</v>
      </c>
      <c r="AE20" s="51" t="n">
        <f aca="false">AE18+AE19</f>
        <v>24033.24</v>
      </c>
      <c r="AF20" s="51" t="n">
        <f aca="false">AF18+AF19</f>
        <v>24033.24</v>
      </c>
      <c r="AG20" s="51" t="n">
        <f aca="false">AG18+AG19</f>
        <v>24033.24</v>
      </c>
      <c r="AH20" s="51" t="n">
        <f aca="false">AH18+AH19</f>
        <v>24033.24</v>
      </c>
      <c r="AI20" s="51" t="n">
        <f aca="false">AI18+AI19</f>
        <v>24033.24</v>
      </c>
      <c r="AJ20" s="51" t="n">
        <f aca="false">AJ18+AJ19</f>
        <v>24033.24</v>
      </c>
      <c r="AK20" s="51" t="n">
        <f aca="false">AK18+AK19</f>
        <v>24033.24</v>
      </c>
      <c r="AL20" s="51" t="n">
        <f aca="false">AL18+AL19</f>
        <v>24033.24</v>
      </c>
      <c r="AM20" s="52" t="n">
        <f aca="false">SUMIF($C$5:$AL$5,AM$5,$C20:$AL20)</f>
        <v>262185</v>
      </c>
      <c r="AN20" s="52" t="n">
        <f aca="false">SUMIF($C$5:$AL$5,AN$5,$C20:$AL20)</f>
        <v>282744</v>
      </c>
      <c r="AO20" s="52" t="n">
        <f aca="false">SUMIF($C$5:$AL$5,AO$5,$C20:$AL20)</f>
        <v>288398.88</v>
      </c>
    </row>
    <row r="21" customFormat="false" ht="15" hidden="false" customHeight="false" outlineLevel="0" collapsed="false">
      <c r="A21" s="10" t="s">
        <v>321</v>
      </c>
      <c r="B21" s="2"/>
      <c r="C21" s="31" t="n">
        <f aca="false">-C20*(1-Assumptions!$C$136)</f>
        <v>-0</v>
      </c>
      <c r="D21" s="31" t="n">
        <f aca="false">-D20*(1-Assumptions!$C$136)</f>
        <v>-0</v>
      </c>
      <c r="E21" s="31" t="n">
        <f aca="false">-E20*(1-Assumptions!$C$136)</f>
        <v>-0</v>
      </c>
      <c r="F21" s="31" t="n">
        <f aca="false">-F20*(1-Assumptions!$C$136)</f>
        <v>-0</v>
      </c>
      <c r="G21" s="31" t="n">
        <f aca="false">-G20*(1-Assumptions!$C$136)</f>
        <v>-0</v>
      </c>
      <c r="H21" s="31" t="n">
        <f aca="false">-H20*(1-Assumptions!$C$136)</f>
        <v>-0</v>
      </c>
      <c r="I21" s="31" t="n">
        <f aca="false">-I20*(1-Assumptions!$C$136)</f>
        <v>-0</v>
      </c>
      <c r="J21" s="31" t="n">
        <f aca="false">-J20*(1-Assumptions!$C$136)</f>
        <v>-0</v>
      </c>
      <c r="K21" s="31" t="n">
        <f aca="false">-K20*(1-Assumptions!$C$136)</f>
        <v>-0</v>
      </c>
      <c r="L21" s="31" t="n">
        <f aca="false">-L20*(1-Assumptions!$C$136)</f>
        <v>-0</v>
      </c>
      <c r="M21" s="31" t="n">
        <f aca="false">-M20*(1-Assumptions!$C$136)</f>
        <v>-0</v>
      </c>
      <c r="N21" s="31" t="n">
        <f aca="false">-N20*(1-Assumptions!$C$136)</f>
        <v>-0</v>
      </c>
      <c r="O21" s="31" t="n">
        <f aca="false">-O20*(1-Assumptions!$C$136)</f>
        <v>-0</v>
      </c>
      <c r="P21" s="31" t="n">
        <f aca="false">-P20*(1-Assumptions!$C$136)</f>
        <v>-0</v>
      </c>
      <c r="Q21" s="31" t="n">
        <f aca="false">-Q20*(1-Assumptions!$C$136)</f>
        <v>-0</v>
      </c>
      <c r="R21" s="31" t="n">
        <f aca="false">-R20*(1-Assumptions!$C$136)</f>
        <v>-0</v>
      </c>
      <c r="S21" s="31" t="n">
        <f aca="false">-S20*(1-Assumptions!$C$136)</f>
        <v>-0</v>
      </c>
      <c r="T21" s="31" t="n">
        <f aca="false">-T20*(1-Assumptions!$C$136)</f>
        <v>-0</v>
      </c>
      <c r="U21" s="31" t="n">
        <f aca="false">-U20*(1-Assumptions!$C$136)</f>
        <v>-0</v>
      </c>
      <c r="V21" s="31" t="n">
        <f aca="false">-V20*(1-Assumptions!$C$136)</f>
        <v>-0</v>
      </c>
      <c r="W21" s="31" t="n">
        <f aca="false">-W20*(1-Assumptions!$C$136)</f>
        <v>-0</v>
      </c>
      <c r="X21" s="31" t="n">
        <f aca="false">-X20*(1-Assumptions!$C$136)</f>
        <v>-0</v>
      </c>
      <c r="Y21" s="31" t="n">
        <f aca="false">-Y20*(1-Assumptions!$C$136)</f>
        <v>-0</v>
      </c>
      <c r="Z21" s="31" t="n">
        <f aca="false">-Z20*(1-Assumptions!$C$136)</f>
        <v>-0</v>
      </c>
      <c r="AA21" s="31" t="n">
        <f aca="false">-AA20*(1-Assumptions!$C$136)</f>
        <v>-0</v>
      </c>
      <c r="AB21" s="31" t="n">
        <f aca="false">-AB20*(1-Assumptions!$C$136)</f>
        <v>-0</v>
      </c>
      <c r="AC21" s="31" t="n">
        <f aca="false">-AC20*(1-Assumptions!$C$136)</f>
        <v>-0</v>
      </c>
      <c r="AD21" s="31" t="n">
        <f aca="false">-AD20*(1-Assumptions!$C$136)</f>
        <v>-0</v>
      </c>
      <c r="AE21" s="31" t="n">
        <f aca="false">-AE20*(1-Assumptions!$C$136)</f>
        <v>-0</v>
      </c>
      <c r="AF21" s="31" t="n">
        <f aca="false">-AF20*(1-Assumptions!$C$136)</f>
        <v>-0</v>
      </c>
      <c r="AG21" s="31" t="n">
        <f aca="false">-AG20*(1-Assumptions!$C$136)</f>
        <v>-0</v>
      </c>
      <c r="AH21" s="31" t="n">
        <f aca="false">-AH20*(1-Assumptions!$C$136)</f>
        <v>-0</v>
      </c>
      <c r="AI21" s="31" t="n">
        <f aca="false">-AI20*(1-Assumptions!$C$136)</f>
        <v>-0</v>
      </c>
      <c r="AJ21" s="31" t="n">
        <f aca="false">-AJ20*(1-Assumptions!$C$136)</f>
        <v>-0</v>
      </c>
      <c r="AK21" s="31" t="n">
        <f aca="false">-AK20*(1-Assumptions!$C$136)</f>
        <v>-0</v>
      </c>
      <c r="AL21" s="31" t="n">
        <f aca="false">-AL20*(1-Assumptions!$C$136)</f>
        <v>-0</v>
      </c>
      <c r="AM21" s="50" t="n">
        <f aca="false">SUMIF($C$5:$AL$5,AM$5,$C21:$AL21)</f>
        <v>0</v>
      </c>
      <c r="AN21" s="50" t="n">
        <f aca="false">SUMIF($C$5:$AL$5,AN$5,$C21:$AL21)</f>
        <v>0</v>
      </c>
      <c r="AO21" s="50" t="n">
        <f aca="false">SUMIF($C$5:$AL$5,AO$5,$C21:$AL21)</f>
        <v>0</v>
      </c>
    </row>
    <row r="22" customFormat="false" ht="15" hidden="false" customHeight="false" outlineLevel="0" collapsed="false">
      <c r="A22" s="42" t="s">
        <v>322</v>
      </c>
      <c r="B22" s="43"/>
      <c r="C22" s="51" t="n">
        <f aca="false">C20+C21</f>
        <v>13860</v>
      </c>
      <c r="D22" s="51" t="n">
        <f aca="false">D20+D21</f>
        <v>18480</v>
      </c>
      <c r="E22" s="51" t="n">
        <f aca="false">E20+E21</f>
        <v>21945</v>
      </c>
      <c r="F22" s="51" t="n">
        <f aca="false">F20+F21</f>
        <v>23100</v>
      </c>
      <c r="G22" s="51" t="n">
        <f aca="false">G20+G21</f>
        <v>23100</v>
      </c>
      <c r="H22" s="51" t="n">
        <f aca="false">H20+H21</f>
        <v>23100</v>
      </c>
      <c r="I22" s="51" t="n">
        <f aca="false">I20+I21</f>
        <v>23100</v>
      </c>
      <c r="J22" s="51" t="n">
        <f aca="false">J20+J21</f>
        <v>23100</v>
      </c>
      <c r="K22" s="51" t="n">
        <f aca="false">K20+K21</f>
        <v>23100</v>
      </c>
      <c r="L22" s="51" t="n">
        <f aca="false">L20+L21</f>
        <v>23100</v>
      </c>
      <c r="M22" s="51" t="n">
        <f aca="false">M20+M21</f>
        <v>23100</v>
      </c>
      <c r="N22" s="51" t="n">
        <f aca="false">N20+N21</f>
        <v>23100</v>
      </c>
      <c r="O22" s="51" t="n">
        <f aca="false">O20+O21</f>
        <v>23562</v>
      </c>
      <c r="P22" s="51" t="n">
        <f aca="false">P20+P21</f>
        <v>23562</v>
      </c>
      <c r="Q22" s="51" t="n">
        <f aca="false">Q20+Q21</f>
        <v>23562</v>
      </c>
      <c r="R22" s="51" t="n">
        <f aca="false">R20+R21</f>
        <v>23562</v>
      </c>
      <c r="S22" s="51" t="n">
        <f aca="false">S20+S21</f>
        <v>23562</v>
      </c>
      <c r="T22" s="51" t="n">
        <f aca="false">T20+T21</f>
        <v>23562</v>
      </c>
      <c r="U22" s="51" t="n">
        <f aca="false">U20+U21</f>
        <v>23562</v>
      </c>
      <c r="V22" s="51" t="n">
        <f aca="false">V20+V21</f>
        <v>23562</v>
      </c>
      <c r="W22" s="51" t="n">
        <f aca="false">W20+W21</f>
        <v>23562</v>
      </c>
      <c r="X22" s="51" t="n">
        <f aca="false">X20+X21</f>
        <v>23562</v>
      </c>
      <c r="Y22" s="51" t="n">
        <f aca="false">Y20+Y21</f>
        <v>23562</v>
      </c>
      <c r="Z22" s="51" t="n">
        <f aca="false">Z20+Z21</f>
        <v>23562</v>
      </c>
      <c r="AA22" s="51" t="n">
        <f aca="false">AA20+AA21</f>
        <v>24033.24</v>
      </c>
      <c r="AB22" s="51" t="n">
        <f aca="false">AB20+AB21</f>
        <v>24033.24</v>
      </c>
      <c r="AC22" s="51" t="n">
        <f aca="false">AC20+AC21</f>
        <v>24033.24</v>
      </c>
      <c r="AD22" s="51" t="n">
        <f aca="false">AD20+AD21</f>
        <v>24033.24</v>
      </c>
      <c r="AE22" s="51" t="n">
        <f aca="false">AE20+AE21</f>
        <v>24033.24</v>
      </c>
      <c r="AF22" s="51" t="n">
        <f aca="false">AF20+AF21</f>
        <v>24033.24</v>
      </c>
      <c r="AG22" s="51" t="n">
        <f aca="false">AG20+AG21</f>
        <v>24033.24</v>
      </c>
      <c r="AH22" s="51" t="n">
        <f aca="false">AH20+AH21</f>
        <v>24033.24</v>
      </c>
      <c r="AI22" s="51" t="n">
        <f aca="false">AI20+AI21</f>
        <v>24033.24</v>
      </c>
      <c r="AJ22" s="51" t="n">
        <f aca="false">AJ20+AJ21</f>
        <v>24033.24</v>
      </c>
      <c r="AK22" s="51" t="n">
        <f aca="false">AK20+AK21</f>
        <v>24033.24</v>
      </c>
      <c r="AL22" s="51" t="n">
        <f aca="false">AL20+AL21</f>
        <v>24033.24</v>
      </c>
      <c r="AM22" s="52" t="n">
        <f aca="false">SUMIF($C$5:$AL$5,AM$5,$C22:$AL22)</f>
        <v>262185</v>
      </c>
      <c r="AN22" s="52" t="n">
        <f aca="false">SUMIF($C$5:$AL$5,AN$5,$C22:$AL22)</f>
        <v>282744</v>
      </c>
      <c r="AO22" s="52" t="n">
        <f aca="false">SUMIF($C$5:$AL$5,AO$5,$C22:$AL22)</f>
        <v>288398.88</v>
      </c>
    </row>
    <row r="24" customFormat="false" ht="15" hidden="false" customHeight="false" outlineLevel="0" collapsed="false">
      <c r="A24" s="10" t="s">
        <v>323</v>
      </c>
      <c r="B24" s="2" t="s">
        <v>111</v>
      </c>
      <c r="C24" s="48" t="n">
        <f aca="false">IF(C9=0,0,C22/C9)</f>
        <v>2.2</v>
      </c>
      <c r="D24" s="48" t="n">
        <f aca="false">IF(D9=0,0,D22/D9)</f>
        <v>2.2</v>
      </c>
      <c r="E24" s="48" t="n">
        <f aca="false">IF(E9=0,0,E22/E9)</f>
        <v>2.2</v>
      </c>
      <c r="F24" s="48" t="n">
        <f aca="false">IF(F9=0,0,F22/F9)</f>
        <v>2.2</v>
      </c>
      <c r="G24" s="48" t="n">
        <f aca="false">IF(G9=0,0,G22/G9)</f>
        <v>2.2</v>
      </c>
      <c r="H24" s="48" t="n">
        <f aca="false">IF(H9=0,0,H22/H9)</f>
        <v>2.2</v>
      </c>
      <c r="I24" s="48" t="n">
        <f aca="false">IF(I9=0,0,I22/I9)</f>
        <v>2.2</v>
      </c>
      <c r="J24" s="48" t="n">
        <f aca="false">IF(J9=0,0,J22/J9)</f>
        <v>2.2</v>
      </c>
      <c r="K24" s="48" t="n">
        <f aca="false">IF(K9=0,0,K22/K9)</f>
        <v>2.2</v>
      </c>
      <c r="L24" s="48" t="n">
        <f aca="false">IF(L9=0,0,L22/L9)</f>
        <v>2.2</v>
      </c>
      <c r="M24" s="48" t="n">
        <f aca="false">IF(M9=0,0,M22/M9)</f>
        <v>2.2</v>
      </c>
      <c r="N24" s="48" t="n">
        <f aca="false">IF(N9=0,0,N22/N9)</f>
        <v>2.2</v>
      </c>
      <c r="O24" s="48" t="n">
        <f aca="false">IF(O9=0,0,O22/O9)</f>
        <v>2.244</v>
      </c>
      <c r="P24" s="48" t="n">
        <f aca="false">IF(P9=0,0,P22/P9)</f>
        <v>2.244</v>
      </c>
      <c r="Q24" s="48" t="n">
        <f aca="false">IF(Q9=0,0,Q22/Q9)</f>
        <v>2.244</v>
      </c>
      <c r="R24" s="48" t="n">
        <f aca="false">IF(R9=0,0,R22/R9)</f>
        <v>2.244</v>
      </c>
      <c r="S24" s="48" t="n">
        <f aca="false">IF(S9=0,0,S22/S9)</f>
        <v>2.244</v>
      </c>
      <c r="T24" s="48" t="n">
        <f aca="false">IF(T9=0,0,T22/T9)</f>
        <v>2.244</v>
      </c>
      <c r="U24" s="48" t="n">
        <f aca="false">IF(U9=0,0,U22/U9)</f>
        <v>2.244</v>
      </c>
      <c r="V24" s="48" t="n">
        <f aca="false">IF(V9=0,0,V22/V9)</f>
        <v>2.244</v>
      </c>
      <c r="W24" s="48" t="n">
        <f aca="false">IF(W9=0,0,W22/W9)</f>
        <v>2.244</v>
      </c>
      <c r="X24" s="48" t="n">
        <f aca="false">IF(X9=0,0,X22/X9)</f>
        <v>2.244</v>
      </c>
      <c r="Y24" s="48" t="n">
        <f aca="false">IF(Y9=0,0,Y22/Y9)</f>
        <v>2.244</v>
      </c>
      <c r="Z24" s="48" t="n">
        <f aca="false">IF(Z9=0,0,Z22/Z9)</f>
        <v>2.244</v>
      </c>
      <c r="AA24" s="48" t="n">
        <f aca="false">IF(AA9=0,0,AA22/AA9)</f>
        <v>2.28888</v>
      </c>
      <c r="AB24" s="48" t="n">
        <f aca="false">IF(AB9=0,0,AB22/AB9)</f>
        <v>2.28888</v>
      </c>
      <c r="AC24" s="48" t="n">
        <f aca="false">IF(AC9=0,0,AC22/AC9)</f>
        <v>2.28888</v>
      </c>
      <c r="AD24" s="48" t="n">
        <f aca="false">IF(AD9=0,0,AD22/AD9)</f>
        <v>2.28888</v>
      </c>
      <c r="AE24" s="48" t="n">
        <f aca="false">IF(AE9=0,0,AE22/AE9)</f>
        <v>2.28888</v>
      </c>
      <c r="AF24" s="48" t="n">
        <f aca="false">IF(AF9=0,0,AF22/AF9)</f>
        <v>2.28888</v>
      </c>
      <c r="AG24" s="48" t="n">
        <f aca="false">IF(AG9=0,0,AG22/AG9)</f>
        <v>2.28888</v>
      </c>
      <c r="AH24" s="48" t="n">
        <f aca="false">IF(AH9=0,0,AH22/AH9)</f>
        <v>2.28888</v>
      </c>
      <c r="AI24" s="48" t="n">
        <f aca="false">IF(AI9=0,0,AI22/AI9)</f>
        <v>2.28888</v>
      </c>
      <c r="AJ24" s="48" t="n">
        <f aca="false">IF(AJ9=0,0,AJ22/AJ9)</f>
        <v>2.28888</v>
      </c>
      <c r="AK24" s="48" t="n">
        <f aca="false">IF(AK9=0,0,AK22/AK9)</f>
        <v>2.28888</v>
      </c>
      <c r="AL24" s="48" t="n">
        <f aca="false">IF(AL9=0,0,AL22/AL9)</f>
        <v>2.28888</v>
      </c>
      <c r="AM24" s="49" t="n">
        <f aca="false">IF(AM9=0,0,AM22/AM9)</f>
        <v>2.2</v>
      </c>
      <c r="AN24" s="49" t="n">
        <f aca="false">IF(AN9=0,0,AN22/AN9)</f>
        <v>2.244</v>
      </c>
      <c r="AO24" s="49" t="n">
        <f aca="false">IF(AO9=0,0,AO22/AO9)</f>
        <v>2.28888</v>
      </c>
    </row>
  </sheetData>
  <printOptions headings="false" gridLines="false" gridLinesSet="true" horizontalCentered="false" verticalCentered="false"/>
  <pageMargins left="0.75" right="0.75" top="1" bottom="1" header="0.511811023622047" footer="0.511811023622047"/>
  <pageSetup paperSize="1" scale="100" fitToWidth="0" fitToHeight="1"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O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2" min="2" style="0" width="9"/>
    <col collapsed="false" customWidth="true" hidden="false" outlineLevel="0" max="38" min="3" style="0" width="11"/>
    <col collapsed="false" customWidth="true" hidden="false" outlineLevel="0" max="41" min="39" style="0" width="13"/>
  </cols>
  <sheetData>
    <row r="1" customFormat="false" ht="17.35" hidden="false" customHeight="false" outlineLevel="0" collapsed="false">
      <c r="A1" s="1" t="s">
        <v>324</v>
      </c>
    </row>
    <row r="2" customFormat="false" ht="15" hidden="false" customHeight="false" outlineLevel="0" collapsed="false">
      <c r="A2" s="2" t="s">
        <v>325</v>
      </c>
    </row>
    <row r="4" customFormat="false" ht="15" hidden="false" customHeight="false" outlineLevel="0" collapsed="false">
      <c r="A4" s="3" t="s">
        <v>303</v>
      </c>
      <c r="C4" s="35" t="n">
        <v>1</v>
      </c>
      <c r="D4" s="35" t="n">
        <v>2</v>
      </c>
      <c r="E4" s="35" t="n">
        <v>3</v>
      </c>
      <c r="F4" s="35" t="n">
        <v>4</v>
      </c>
      <c r="G4" s="35" t="n">
        <v>5</v>
      </c>
      <c r="H4" s="35" t="n">
        <v>6</v>
      </c>
      <c r="I4" s="35" t="n">
        <v>7</v>
      </c>
      <c r="J4" s="35" t="n">
        <v>8</v>
      </c>
      <c r="K4" s="35" t="n">
        <v>9</v>
      </c>
      <c r="L4" s="35" t="n">
        <v>10</v>
      </c>
      <c r="M4" s="35" t="n">
        <v>11</v>
      </c>
      <c r="N4" s="35" t="n">
        <v>12</v>
      </c>
      <c r="O4" s="35" t="n">
        <v>13</v>
      </c>
      <c r="P4" s="35" t="n">
        <v>14</v>
      </c>
      <c r="Q4" s="35" t="n">
        <v>15</v>
      </c>
      <c r="R4" s="35" t="n">
        <v>16</v>
      </c>
      <c r="S4" s="35" t="n">
        <v>17</v>
      </c>
      <c r="T4" s="35" t="n">
        <v>18</v>
      </c>
      <c r="U4" s="35" t="n">
        <v>19</v>
      </c>
      <c r="V4" s="35" t="n">
        <v>20</v>
      </c>
      <c r="W4" s="35" t="n">
        <v>21</v>
      </c>
      <c r="X4" s="35" t="n">
        <v>22</v>
      </c>
      <c r="Y4" s="35" t="n">
        <v>23</v>
      </c>
      <c r="Z4" s="35" t="n">
        <v>24</v>
      </c>
      <c r="AA4" s="35" t="n">
        <v>25</v>
      </c>
      <c r="AB4" s="35" t="n">
        <v>26</v>
      </c>
      <c r="AC4" s="35" t="n">
        <v>27</v>
      </c>
      <c r="AD4" s="35" t="n">
        <v>28</v>
      </c>
      <c r="AE4" s="35" t="n">
        <v>29</v>
      </c>
      <c r="AF4" s="35" t="n">
        <v>30</v>
      </c>
      <c r="AG4" s="35" t="n">
        <v>31</v>
      </c>
      <c r="AH4" s="35" t="n">
        <v>32</v>
      </c>
      <c r="AI4" s="35" t="n">
        <v>33</v>
      </c>
      <c r="AJ4" s="35" t="n">
        <v>34</v>
      </c>
      <c r="AK4" s="35" t="n">
        <v>35</v>
      </c>
      <c r="AL4" s="35" t="n">
        <v>36</v>
      </c>
      <c r="AM4" s="36" t="s">
        <v>304</v>
      </c>
      <c r="AN4" s="36" t="s">
        <v>304</v>
      </c>
      <c r="AO4" s="36" t="s">
        <v>304</v>
      </c>
    </row>
    <row r="5" customFormat="false" ht="15" hidden="false" customHeight="false" outlineLevel="0" collapsed="false">
      <c r="A5" s="3" t="s">
        <v>305</v>
      </c>
      <c r="C5" s="37" t="n">
        <f aca="false">INT((C4-1)/12)+1</f>
        <v>1</v>
      </c>
      <c r="D5" s="37" t="n">
        <f aca="false">INT((D4-1)/12)+1</f>
        <v>1</v>
      </c>
      <c r="E5" s="37" t="n">
        <f aca="false">INT((E4-1)/12)+1</f>
        <v>1</v>
      </c>
      <c r="F5" s="37" t="n">
        <f aca="false">INT((F4-1)/12)+1</f>
        <v>1</v>
      </c>
      <c r="G5" s="37" t="n">
        <f aca="false">INT((G4-1)/12)+1</f>
        <v>1</v>
      </c>
      <c r="H5" s="37" t="n">
        <f aca="false">INT((H4-1)/12)+1</f>
        <v>1</v>
      </c>
      <c r="I5" s="37" t="n">
        <f aca="false">INT((I4-1)/12)+1</f>
        <v>1</v>
      </c>
      <c r="J5" s="37" t="n">
        <f aca="false">INT((J4-1)/12)+1</f>
        <v>1</v>
      </c>
      <c r="K5" s="37" t="n">
        <f aca="false">INT((K4-1)/12)+1</f>
        <v>1</v>
      </c>
      <c r="L5" s="37" t="n">
        <f aca="false">INT((L4-1)/12)+1</f>
        <v>1</v>
      </c>
      <c r="M5" s="37" t="n">
        <f aca="false">INT((M4-1)/12)+1</f>
        <v>1</v>
      </c>
      <c r="N5" s="37" t="n">
        <f aca="false">INT((N4-1)/12)+1</f>
        <v>1</v>
      </c>
      <c r="O5" s="37" t="n">
        <f aca="false">INT((O4-1)/12)+1</f>
        <v>2</v>
      </c>
      <c r="P5" s="37" t="n">
        <f aca="false">INT((P4-1)/12)+1</f>
        <v>2</v>
      </c>
      <c r="Q5" s="37" t="n">
        <f aca="false">INT((Q4-1)/12)+1</f>
        <v>2</v>
      </c>
      <c r="R5" s="37" t="n">
        <f aca="false">INT((R4-1)/12)+1</f>
        <v>2</v>
      </c>
      <c r="S5" s="37" t="n">
        <f aca="false">INT((S4-1)/12)+1</f>
        <v>2</v>
      </c>
      <c r="T5" s="37" t="n">
        <f aca="false">INT((T4-1)/12)+1</f>
        <v>2</v>
      </c>
      <c r="U5" s="37" t="n">
        <f aca="false">INT((U4-1)/12)+1</f>
        <v>2</v>
      </c>
      <c r="V5" s="37" t="n">
        <f aca="false">INT((V4-1)/12)+1</f>
        <v>2</v>
      </c>
      <c r="W5" s="37" t="n">
        <f aca="false">INT((W4-1)/12)+1</f>
        <v>2</v>
      </c>
      <c r="X5" s="37" t="n">
        <f aca="false">INT((X4-1)/12)+1</f>
        <v>2</v>
      </c>
      <c r="Y5" s="37" t="n">
        <f aca="false">INT((Y4-1)/12)+1</f>
        <v>2</v>
      </c>
      <c r="Z5" s="37" t="n">
        <f aca="false">INT((Z4-1)/12)+1</f>
        <v>2</v>
      </c>
      <c r="AA5" s="37" t="n">
        <f aca="false">INT((AA4-1)/12)+1</f>
        <v>3</v>
      </c>
      <c r="AB5" s="37" t="n">
        <f aca="false">INT((AB4-1)/12)+1</f>
        <v>3</v>
      </c>
      <c r="AC5" s="37" t="n">
        <f aca="false">INT((AC4-1)/12)+1</f>
        <v>3</v>
      </c>
      <c r="AD5" s="37" t="n">
        <f aca="false">INT((AD4-1)/12)+1</f>
        <v>3</v>
      </c>
      <c r="AE5" s="37" t="n">
        <f aca="false">INT((AE4-1)/12)+1</f>
        <v>3</v>
      </c>
      <c r="AF5" s="37" t="n">
        <f aca="false">INT((AF4-1)/12)+1</f>
        <v>3</v>
      </c>
      <c r="AG5" s="37" t="n">
        <f aca="false">INT((AG4-1)/12)+1</f>
        <v>3</v>
      </c>
      <c r="AH5" s="37" t="n">
        <f aca="false">INT((AH4-1)/12)+1</f>
        <v>3</v>
      </c>
      <c r="AI5" s="37" t="n">
        <f aca="false">INT((AI4-1)/12)+1</f>
        <v>3</v>
      </c>
      <c r="AJ5" s="37" t="n">
        <f aca="false">INT((AJ4-1)/12)+1</f>
        <v>3</v>
      </c>
      <c r="AK5" s="37" t="n">
        <f aca="false">INT((AK4-1)/12)+1</f>
        <v>3</v>
      </c>
      <c r="AL5" s="37" t="n">
        <f aca="false">INT((AL4-1)/12)+1</f>
        <v>3</v>
      </c>
      <c r="AM5" s="35" t="n">
        <v>1</v>
      </c>
      <c r="AN5" s="35" t="n">
        <v>2</v>
      </c>
      <c r="AO5" s="35" t="n">
        <v>3</v>
      </c>
    </row>
    <row r="6" customFormat="false" ht="15" hidden="false" customHeight="false" outlineLevel="0" collapsed="false">
      <c r="A6" s="6" t="s">
        <v>306</v>
      </c>
      <c r="B6" s="6" t="s">
        <v>71</v>
      </c>
      <c r="C6" s="38" t="n">
        <f aca="false">EDATE(Assumptions!$C$7,C4-1)</f>
        <v>46388</v>
      </c>
      <c r="D6" s="38" t="n">
        <f aca="false">EDATE(Assumptions!$C$7,D4-1)</f>
        <v>46419</v>
      </c>
      <c r="E6" s="38" t="n">
        <f aca="false">EDATE(Assumptions!$C$7,E4-1)</f>
        <v>46447</v>
      </c>
      <c r="F6" s="38" t="n">
        <f aca="false">EDATE(Assumptions!$C$7,F4-1)</f>
        <v>46478</v>
      </c>
      <c r="G6" s="38" t="n">
        <f aca="false">EDATE(Assumptions!$C$7,G4-1)</f>
        <v>46508</v>
      </c>
      <c r="H6" s="38" t="n">
        <f aca="false">EDATE(Assumptions!$C$7,H4-1)</f>
        <v>46539</v>
      </c>
      <c r="I6" s="38" t="n">
        <f aca="false">EDATE(Assumptions!$C$7,I4-1)</f>
        <v>46569</v>
      </c>
      <c r="J6" s="38" t="n">
        <f aca="false">EDATE(Assumptions!$C$7,J4-1)</f>
        <v>46600</v>
      </c>
      <c r="K6" s="38" t="n">
        <f aca="false">EDATE(Assumptions!$C$7,K4-1)</f>
        <v>46631</v>
      </c>
      <c r="L6" s="38" t="n">
        <f aca="false">EDATE(Assumptions!$C$7,L4-1)</f>
        <v>46661</v>
      </c>
      <c r="M6" s="38" t="n">
        <f aca="false">EDATE(Assumptions!$C$7,M4-1)</f>
        <v>46692</v>
      </c>
      <c r="N6" s="38" t="n">
        <f aca="false">EDATE(Assumptions!$C$7,N4-1)</f>
        <v>46722</v>
      </c>
      <c r="O6" s="38" t="n">
        <f aca="false">EDATE(Assumptions!$C$7,O4-1)</f>
        <v>46753</v>
      </c>
      <c r="P6" s="38" t="n">
        <f aca="false">EDATE(Assumptions!$C$7,P4-1)</f>
        <v>46784</v>
      </c>
      <c r="Q6" s="38" t="n">
        <f aca="false">EDATE(Assumptions!$C$7,Q4-1)</f>
        <v>46813</v>
      </c>
      <c r="R6" s="38" t="n">
        <f aca="false">EDATE(Assumptions!$C$7,R4-1)</f>
        <v>46844</v>
      </c>
      <c r="S6" s="38" t="n">
        <f aca="false">EDATE(Assumptions!$C$7,S4-1)</f>
        <v>46874</v>
      </c>
      <c r="T6" s="38" t="n">
        <f aca="false">EDATE(Assumptions!$C$7,T4-1)</f>
        <v>46905</v>
      </c>
      <c r="U6" s="38" t="n">
        <f aca="false">EDATE(Assumptions!$C$7,U4-1)</f>
        <v>46935</v>
      </c>
      <c r="V6" s="38" t="n">
        <f aca="false">EDATE(Assumptions!$C$7,V4-1)</f>
        <v>46966</v>
      </c>
      <c r="W6" s="38" t="n">
        <f aca="false">EDATE(Assumptions!$C$7,W4-1)</f>
        <v>46997</v>
      </c>
      <c r="X6" s="38" t="n">
        <f aca="false">EDATE(Assumptions!$C$7,X4-1)</f>
        <v>47027</v>
      </c>
      <c r="Y6" s="38" t="n">
        <f aca="false">EDATE(Assumptions!$C$7,Y4-1)</f>
        <v>47058</v>
      </c>
      <c r="Z6" s="38" t="n">
        <f aca="false">EDATE(Assumptions!$C$7,Z4-1)</f>
        <v>47088</v>
      </c>
      <c r="AA6" s="38" t="n">
        <f aca="false">EDATE(Assumptions!$C$7,AA4-1)</f>
        <v>47119</v>
      </c>
      <c r="AB6" s="38" t="n">
        <f aca="false">EDATE(Assumptions!$C$7,AB4-1)</f>
        <v>47150</v>
      </c>
      <c r="AC6" s="38" t="n">
        <f aca="false">EDATE(Assumptions!$C$7,AC4-1)</f>
        <v>47178</v>
      </c>
      <c r="AD6" s="38" t="n">
        <f aca="false">EDATE(Assumptions!$C$7,AD4-1)</f>
        <v>47209</v>
      </c>
      <c r="AE6" s="38" t="n">
        <f aca="false">EDATE(Assumptions!$C$7,AE4-1)</f>
        <v>47239</v>
      </c>
      <c r="AF6" s="38" t="n">
        <f aca="false">EDATE(Assumptions!$C$7,AF4-1)</f>
        <v>47270</v>
      </c>
      <c r="AG6" s="38" t="n">
        <f aca="false">EDATE(Assumptions!$C$7,AG4-1)</f>
        <v>47300</v>
      </c>
      <c r="AH6" s="38" t="n">
        <f aca="false">EDATE(Assumptions!$C$7,AH4-1)</f>
        <v>47331</v>
      </c>
      <c r="AI6" s="38" t="n">
        <f aca="false">EDATE(Assumptions!$C$7,AI4-1)</f>
        <v>47362</v>
      </c>
      <c r="AJ6" s="38" t="n">
        <f aca="false">EDATE(Assumptions!$C$7,AJ4-1)</f>
        <v>47392</v>
      </c>
      <c r="AK6" s="38" t="n">
        <f aca="false">EDATE(Assumptions!$C$7,AK4-1)</f>
        <v>47423</v>
      </c>
      <c r="AL6" s="38" t="n">
        <f aca="false">EDATE(Assumptions!$C$7,AL4-1)</f>
        <v>47453</v>
      </c>
      <c r="AM6" s="39" t="s">
        <v>307</v>
      </c>
      <c r="AN6" s="39" t="s">
        <v>308</v>
      </c>
      <c r="AO6" s="39" t="s">
        <v>309</v>
      </c>
    </row>
    <row r="7" customFormat="false" ht="15" hidden="false" customHeight="false" outlineLevel="0" collapsed="false">
      <c r="A7" s="10" t="s">
        <v>326</v>
      </c>
      <c r="B7" s="2"/>
      <c r="C7" s="47" t="n">
        <f aca="false">(1+Assumptions!$C$47)^(C5-1)</f>
        <v>1</v>
      </c>
      <c r="D7" s="47" t="n">
        <f aca="false">(1+Assumptions!$C$47)^(D5-1)</f>
        <v>1</v>
      </c>
      <c r="E7" s="47" t="n">
        <f aca="false">(1+Assumptions!$C$47)^(E5-1)</f>
        <v>1</v>
      </c>
      <c r="F7" s="47" t="n">
        <f aca="false">(1+Assumptions!$C$47)^(F5-1)</f>
        <v>1</v>
      </c>
      <c r="G7" s="47" t="n">
        <f aca="false">(1+Assumptions!$C$47)^(G5-1)</f>
        <v>1</v>
      </c>
      <c r="H7" s="47" t="n">
        <f aca="false">(1+Assumptions!$C$47)^(H5-1)</f>
        <v>1</v>
      </c>
      <c r="I7" s="47" t="n">
        <f aca="false">(1+Assumptions!$C$47)^(I5-1)</f>
        <v>1</v>
      </c>
      <c r="J7" s="47" t="n">
        <f aca="false">(1+Assumptions!$C$47)^(J5-1)</f>
        <v>1</v>
      </c>
      <c r="K7" s="47" t="n">
        <f aca="false">(1+Assumptions!$C$47)^(K5-1)</f>
        <v>1</v>
      </c>
      <c r="L7" s="47" t="n">
        <f aca="false">(1+Assumptions!$C$47)^(L5-1)</f>
        <v>1</v>
      </c>
      <c r="M7" s="47" t="n">
        <f aca="false">(1+Assumptions!$C$47)^(M5-1)</f>
        <v>1</v>
      </c>
      <c r="N7" s="47" t="n">
        <f aca="false">(1+Assumptions!$C$47)^(N5-1)</f>
        <v>1</v>
      </c>
      <c r="O7" s="47" t="n">
        <f aca="false">(1+Assumptions!$C$47)^(O5-1)</f>
        <v>1.03</v>
      </c>
      <c r="P7" s="47" t="n">
        <f aca="false">(1+Assumptions!$C$47)^(P5-1)</f>
        <v>1.03</v>
      </c>
      <c r="Q7" s="47" t="n">
        <f aca="false">(1+Assumptions!$C$47)^(Q5-1)</f>
        <v>1.03</v>
      </c>
      <c r="R7" s="47" t="n">
        <f aca="false">(1+Assumptions!$C$47)^(R5-1)</f>
        <v>1.03</v>
      </c>
      <c r="S7" s="47" t="n">
        <f aca="false">(1+Assumptions!$C$47)^(S5-1)</f>
        <v>1.03</v>
      </c>
      <c r="T7" s="47" t="n">
        <f aca="false">(1+Assumptions!$C$47)^(T5-1)</f>
        <v>1.03</v>
      </c>
      <c r="U7" s="47" t="n">
        <f aca="false">(1+Assumptions!$C$47)^(U5-1)</f>
        <v>1.03</v>
      </c>
      <c r="V7" s="47" t="n">
        <f aca="false">(1+Assumptions!$C$47)^(V5-1)</f>
        <v>1.03</v>
      </c>
      <c r="W7" s="47" t="n">
        <f aca="false">(1+Assumptions!$C$47)^(W5-1)</f>
        <v>1.03</v>
      </c>
      <c r="X7" s="47" t="n">
        <f aca="false">(1+Assumptions!$C$47)^(X5-1)</f>
        <v>1.03</v>
      </c>
      <c r="Y7" s="47" t="n">
        <f aca="false">(1+Assumptions!$C$47)^(Y5-1)</f>
        <v>1.03</v>
      </c>
      <c r="Z7" s="47" t="n">
        <f aca="false">(1+Assumptions!$C$47)^(Z5-1)</f>
        <v>1.03</v>
      </c>
      <c r="AA7" s="47" t="n">
        <f aca="false">(1+Assumptions!$C$47)^(AA5-1)</f>
        <v>1.0609</v>
      </c>
      <c r="AB7" s="47" t="n">
        <f aca="false">(1+Assumptions!$C$47)^(AB5-1)</f>
        <v>1.0609</v>
      </c>
      <c r="AC7" s="47" t="n">
        <f aca="false">(1+Assumptions!$C$47)^(AC5-1)</f>
        <v>1.0609</v>
      </c>
      <c r="AD7" s="47" t="n">
        <f aca="false">(1+Assumptions!$C$47)^(AD5-1)</f>
        <v>1.0609</v>
      </c>
      <c r="AE7" s="47" t="n">
        <f aca="false">(1+Assumptions!$C$47)^(AE5-1)</f>
        <v>1.0609</v>
      </c>
      <c r="AF7" s="47" t="n">
        <f aca="false">(1+Assumptions!$C$47)^(AF5-1)</f>
        <v>1.0609</v>
      </c>
      <c r="AG7" s="47" t="n">
        <f aca="false">(1+Assumptions!$C$47)^(AG5-1)</f>
        <v>1.0609</v>
      </c>
      <c r="AH7" s="47" t="n">
        <f aca="false">(1+Assumptions!$C$47)^(AH5-1)</f>
        <v>1.0609</v>
      </c>
      <c r="AI7" s="47" t="n">
        <f aca="false">(1+Assumptions!$C$47)^(AI5-1)</f>
        <v>1.0609</v>
      </c>
      <c r="AJ7" s="47" t="n">
        <f aca="false">(1+Assumptions!$C$47)^(AJ5-1)</f>
        <v>1.0609</v>
      </c>
      <c r="AK7" s="47" t="n">
        <f aca="false">(1+Assumptions!$C$47)^(AK5-1)</f>
        <v>1.0609</v>
      </c>
      <c r="AL7" s="47" t="n">
        <f aca="false">(1+Assumptions!$C$47)^(AL5-1)</f>
        <v>1.0609</v>
      </c>
    </row>
    <row r="8" customFormat="false" ht="15" hidden="false" customHeight="false" outlineLevel="0" collapsed="false">
      <c r="A8" s="10" t="s">
        <v>327</v>
      </c>
      <c r="B8" s="2" t="s">
        <v>133</v>
      </c>
      <c r="C8" s="48" t="n">
        <f aca="false">Assumptions!$C$38*(1+Assumptions!$C$39)^(C5-1)</f>
        <v>6</v>
      </c>
      <c r="D8" s="48" t="n">
        <f aca="false">Assumptions!$C$38*(1+Assumptions!$C$39)^(D5-1)</f>
        <v>6</v>
      </c>
      <c r="E8" s="48" t="n">
        <f aca="false">Assumptions!$C$38*(1+Assumptions!$C$39)^(E5-1)</f>
        <v>6</v>
      </c>
      <c r="F8" s="48" t="n">
        <f aca="false">Assumptions!$C$38*(1+Assumptions!$C$39)^(F5-1)</f>
        <v>6</v>
      </c>
      <c r="G8" s="48" t="n">
        <f aca="false">Assumptions!$C$38*(1+Assumptions!$C$39)^(G5-1)</f>
        <v>6</v>
      </c>
      <c r="H8" s="48" t="n">
        <f aca="false">Assumptions!$C$38*(1+Assumptions!$C$39)^(H5-1)</f>
        <v>6</v>
      </c>
      <c r="I8" s="48" t="n">
        <f aca="false">Assumptions!$C$38*(1+Assumptions!$C$39)^(I5-1)</f>
        <v>6</v>
      </c>
      <c r="J8" s="48" t="n">
        <f aca="false">Assumptions!$C$38*(1+Assumptions!$C$39)^(J5-1)</f>
        <v>6</v>
      </c>
      <c r="K8" s="48" t="n">
        <f aca="false">Assumptions!$C$38*(1+Assumptions!$C$39)^(K5-1)</f>
        <v>6</v>
      </c>
      <c r="L8" s="48" t="n">
        <f aca="false">Assumptions!$C$38*(1+Assumptions!$C$39)^(L5-1)</f>
        <v>6</v>
      </c>
      <c r="M8" s="48" t="n">
        <f aca="false">Assumptions!$C$38*(1+Assumptions!$C$39)^(M5-1)</f>
        <v>6</v>
      </c>
      <c r="N8" s="48" t="n">
        <f aca="false">Assumptions!$C$38*(1+Assumptions!$C$39)^(N5-1)</f>
        <v>6</v>
      </c>
      <c r="O8" s="48" t="n">
        <f aca="false">Assumptions!$C$38*(1+Assumptions!$C$39)^(O5-1)</f>
        <v>6</v>
      </c>
      <c r="P8" s="48" t="n">
        <f aca="false">Assumptions!$C$38*(1+Assumptions!$C$39)^(P5-1)</f>
        <v>6</v>
      </c>
      <c r="Q8" s="48" t="n">
        <f aca="false">Assumptions!$C$38*(1+Assumptions!$C$39)^(Q5-1)</f>
        <v>6</v>
      </c>
      <c r="R8" s="48" t="n">
        <f aca="false">Assumptions!$C$38*(1+Assumptions!$C$39)^(R5-1)</f>
        <v>6</v>
      </c>
      <c r="S8" s="48" t="n">
        <f aca="false">Assumptions!$C$38*(1+Assumptions!$C$39)^(S5-1)</f>
        <v>6</v>
      </c>
      <c r="T8" s="48" t="n">
        <f aca="false">Assumptions!$C$38*(1+Assumptions!$C$39)^(T5-1)</f>
        <v>6</v>
      </c>
      <c r="U8" s="48" t="n">
        <f aca="false">Assumptions!$C$38*(1+Assumptions!$C$39)^(U5-1)</f>
        <v>6</v>
      </c>
      <c r="V8" s="48" t="n">
        <f aca="false">Assumptions!$C$38*(1+Assumptions!$C$39)^(V5-1)</f>
        <v>6</v>
      </c>
      <c r="W8" s="48" t="n">
        <f aca="false">Assumptions!$C$38*(1+Assumptions!$C$39)^(W5-1)</f>
        <v>6</v>
      </c>
      <c r="X8" s="48" t="n">
        <f aca="false">Assumptions!$C$38*(1+Assumptions!$C$39)^(X5-1)</f>
        <v>6</v>
      </c>
      <c r="Y8" s="48" t="n">
        <f aca="false">Assumptions!$C$38*(1+Assumptions!$C$39)^(Y5-1)</f>
        <v>6</v>
      </c>
      <c r="Z8" s="48" t="n">
        <f aca="false">Assumptions!$C$38*(1+Assumptions!$C$39)^(Z5-1)</f>
        <v>6</v>
      </c>
      <c r="AA8" s="48" t="n">
        <f aca="false">Assumptions!$C$38*(1+Assumptions!$C$39)^(AA5-1)</f>
        <v>6</v>
      </c>
      <c r="AB8" s="48" t="n">
        <f aca="false">Assumptions!$C$38*(1+Assumptions!$C$39)^(AB5-1)</f>
        <v>6</v>
      </c>
      <c r="AC8" s="48" t="n">
        <f aca="false">Assumptions!$C$38*(1+Assumptions!$C$39)^(AC5-1)</f>
        <v>6</v>
      </c>
      <c r="AD8" s="48" t="n">
        <f aca="false">Assumptions!$C$38*(1+Assumptions!$C$39)^(AD5-1)</f>
        <v>6</v>
      </c>
      <c r="AE8" s="48" t="n">
        <f aca="false">Assumptions!$C$38*(1+Assumptions!$C$39)^(AE5-1)</f>
        <v>6</v>
      </c>
      <c r="AF8" s="48" t="n">
        <f aca="false">Assumptions!$C$38*(1+Assumptions!$C$39)^(AF5-1)</f>
        <v>6</v>
      </c>
      <c r="AG8" s="48" t="n">
        <f aca="false">Assumptions!$C$38*(1+Assumptions!$C$39)^(AG5-1)</f>
        <v>6</v>
      </c>
      <c r="AH8" s="48" t="n">
        <f aca="false">Assumptions!$C$38*(1+Assumptions!$C$39)^(AH5-1)</f>
        <v>6</v>
      </c>
      <c r="AI8" s="48" t="n">
        <f aca="false">Assumptions!$C$38*(1+Assumptions!$C$39)^(AI5-1)</f>
        <v>6</v>
      </c>
      <c r="AJ8" s="48" t="n">
        <f aca="false">Assumptions!$C$38*(1+Assumptions!$C$39)^(AJ5-1)</f>
        <v>6</v>
      </c>
      <c r="AK8" s="48" t="n">
        <f aca="false">Assumptions!$C$38*(1+Assumptions!$C$39)^(AK5-1)</f>
        <v>6</v>
      </c>
      <c r="AL8" s="48" t="n">
        <f aca="false">Assumptions!$C$38*(1+Assumptions!$C$39)^(AL5-1)</f>
        <v>6</v>
      </c>
      <c r="AM8" s="49" t="n">
        <f aca="false">AVERAGE(INDEX($C8:$AL8,(AM$5-1)*12+1):INDEX($C8:$AL8,AM$5*12))</f>
        <v>6</v>
      </c>
      <c r="AN8" s="49" t="n">
        <f aca="false">AVERAGE(INDEX($C8:$AL8,(AN$5-1)*12+1):INDEX($C8:$AL8,AN$5*12))</f>
        <v>6</v>
      </c>
      <c r="AO8" s="49" t="n">
        <f aca="false">AVERAGE(INDEX($C8:$AL8,(AO$5-1)*12+1):INDEX($C8:$AL8,AO$5*12))</f>
        <v>6</v>
      </c>
    </row>
    <row r="9" customFormat="false" ht="15" hidden="false" customHeight="false" outlineLevel="0" collapsed="false">
      <c r="A9" s="10" t="s">
        <v>328</v>
      </c>
      <c r="B9" s="2" t="s">
        <v>329</v>
      </c>
      <c r="C9" s="32" t="n">
        <f aca="false">IF(Assumptions!$C$37=0,0,Revenue!C9/Assumptions!$C$37)</f>
        <v>969.230769230769</v>
      </c>
      <c r="D9" s="32" t="n">
        <f aca="false">IF(Assumptions!$C$37=0,0,Revenue!D9/Assumptions!$C$37)</f>
        <v>1292.30769230769</v>
      </c>
      <c r="E9" s="32" t="n">
        <f aca="false">IF(Assumptions!$C$37=0,0,Revenue!E9/Assumptions!$C$37)</f>
        <v>1534.61538461538</v>
      </c>
      <c r="F9" s="32" t="n">
        <f aca="false">IF(Assumptions!$C$37=0,0,Revenue!F9/Assumptions!$C$37)</f>
        <v>1615.38461538462</v>
      </c>
      <c r="G9" s="32" t="n">
        <f aca="false">IF(Assumptions!$C$37=0,0,Revenue!G9/Assumptions!$C$37)</f>
        <v>1615.38461538462</v>
      </c>
      <c r="H9" s="32" t="n">
        <f aca="false">IF(Assumptions!$C$37=0,0,Revenue!H9/Assumptions!$C$37)</f>
        <v>1615.38461538462</v>
      </c>
      <c r="I9" s="32" t="n">
        <f aca="false">IF(Assumptions!$C$37=0,0,Revenue!I9/Assumptions!$C$37)</f>
        <v>1615.38461538462</v>
      </c>
      <c r="J9" s="32" t="n">
        <f aca="false">IF(Assumptions!$C$37=0,0,Revenue!J9/Assumptions!$C$37)</f>
        <v>1615.38461538462</v>
      </c>
      <c r="K9" s="32" t="n">
        <f aca="false">IF(Assumptions!$C$37=0,0,Revenue!K9/Assumptions!$C$37)</f>
        <v>1615.38461538462</v>
      </c>
      <c r="L9" s="32" t="n">
        <f aca="false">IF(Assumptions!$C$37=0,0,Revenue!L9/Assumptions!$C$37)</f>
        <v>1615.38461538462</v>
      </c>
      <c r="M9" s="32" t="n">
        <f aca="false">IF(Assumptions!$C$37=0,0,Revenue!M9/Assumptions!$C$37)</f>
        <v>1615.38461538462</v>
      </c>
      <c r="N9" s="32" t="n">
        <f aca="false">IF(Assumptions!$C$37=0,0,Revenue!N9/Assumptions!$C$37)</f>
        <v>1615.38461538462</v>
      </c>
      <c r="O9" s="32" t="n">
        <f aca="false">IF(Assumptions!$C$37=0,0,Revenue!O9/Assumptions!$C$37)</f>
        <v>1615.38461538462</v>
      </c>
      <c r="P9" s="32" t="n">
        <f aca="false">IF(Assumptions!$C$37=0,0,Revenue!P9/Assumptions!$C$37)</f>
        <v>1615.38461538462</v>
      </c>
      <c r="Q9" s="32" t="n">
        <f aca="false">IF(Assumptions!$C$37=0,0,Revenue!Q9/Assumptions!$C$37)</f>
        <v>1615.38461538462</v>
      </c>
      <c r="R9" s="32" t="n">
        <f aca="false">IF(Assumptions!$C$37=0,0,Revenue!R9/Assumptions!$C$37)</f>
        <v>1615.38461538462</v>
      </c>
      <c r="S9" s="32" t="n">
        <f aca="false">IF(Assumptions!$C$37=0,0,Revenue!S9/Assumptions!$C$37)</f>
        <v>1615.38461538462</v>
      </c>
      <c r="T9" s="32" t="n">
        <f aca="false">IF(Assumptions!$C$37=0,0,Revenue!T9/Assumptions!$C$37)</f>
        <v>1615.38461538462</v>
      </c>
      <c r="U9" s="32" t="n">
        <f aca="false">IF(Assumptions!$C$37=0,0,Revenue!U9/Assumptions!$C$37)</f>
        <v>1615.38461538462</v>
      </c>
      <c r="V9" s="32" t="n">
        <f aca="false">IF(Assumptions!$C$37=0,0,Revenue!V9/Assumptions!$C$37)</f>
        <v>1615.38461538462</v>
      </c>
      <c r="W9" s="32" t="n">
        <f aca="false">IF(Assumptions!$C$37=0,0,Revenue!W9/Assumptions!$C$37)</f>
        <v>1615.38461538462</v>
      </c>
      <c r="X9" s="32" t="n">
        <f aca="false">IF(Assumptions!$C$37=0,0,Revenue!X9/Assumptions!$C$37)</f>
        <v>1615.38461538462</v>
      </c>
      <c r="Y9" s="32" t="n">
        <f aca="false">IF(Assumptions!$C$37=0,0,Revenue!Y9/Assumptions!$C$37)</f>
        <v>1615.38461538462</v>
      </c>
      <c r="Z9" s="32" t="n">
        <f aca="false">IF(Assumptions!$C$37=0,0,Revenue!Z9/Assumptions!$C$37)</f>
        <v>1615.38461538462</v>
      </c>
      <c r="AA9" s="32" t="n">
        <f aca="false">IF(Assumptions!$C$37=0,0,Revenue!AA9/Assumptions!$C$37)</f>
        <v>1615.38461538462</v>
      </c>
      <c r="AB9" s="32" t="n">
        <f aca="false">IF(Assumptions!$C$37=0,0,Revenue!AB9/Assumptions!$C$37)</f>
        <v>1615.38461538462</v>
      </c>
      <c r="AC9" s="32" t="n">
        <f aca="false">IF(Assumptions!$C$37=0,0,Revenue!AC9/Assumptions!$C$37)</f>
        <v>1615.38461538462</v>
      </c>
      <c r="AD9" s="32" t="n">
        <f aca="false">IF(Assumptions!$C$37=0,0,Revenue!AD9/Assumptions!$C$37)</f>
        <v>1615.38461538462</v>
      </c>
      <c r="AE9" s="32" t="n">
        <f aca="false">IF(Assumptions!$C$37=0,0,Revenue!AE9/Assumptions!$C$37)</f>
        <v>1615.38461538462</v>
      </c>
      <c r="AF9" s="32" t="n">
        <f aca="false">IF(Assumptions!$C$37=0,0,Revenue!AF9/Assumptions!$C$37)</f>
        <v>1615.38461538462</v>
      </c>
      <c r="AG9" s="32" t="n">
        <f aca="false">IF(Assumptions!$C$37=0,0,Revenue!AG9/Assumptions!$C$37)</f>
        <v>1615.38461538462</v>
      </c>
      <c r="AH9" s="32" t="n">
        <f aca="false">IF(Assumptions!$C$37=0,0,Revenue!AH9/Assumptions!$C$37)</f>
        <v>1615.38461538462</v>
      </c>
      <c r="AI9" s="32" t="n">
        <f aca="false">IF(Assumptions!$C$37=0,0,Revenue!AI9/Assumptions!$C$37)</f>
        <v>1615.38461538462</v>
      </c>
      <c r="AJ9" s="32" t="n">
        <f aca="false">IF(Assumptions!$C$37=0,0,Revenue!AJ9/Assumptions!$C$37)</f>
        <v>1615.38461538462</v>
      </c>
      <c r="AK9" s="32" t="n">
        <f aca="false">IF(Assumptions!$C$37=0,0,Revenue!AK9/Assumptions!$C$37)</f>
        <v>1615.38461538462</v>
      </c>
      <c r="AL9" s="32" t="n">
        <f aca="false">IF(Assumptions!$C$37=0,0,Revenue!AL9/Assumptions!$C$37)</f>
        <v>1615.38461538462</v>
      </c>
      <c r="AM9" s="46" t="n">
        <f aca="false">SUMIF($C$5:$AL$5,AM$5,$C9:$AL9)</f>
        <v>18334.6153846154</v>
      </c>
      <c r="AN9" s="46" t="n">
        <f aca="false">SUMIF($C$5:$AL$5,AN$5,$C9:$AL9)</f>
        <v>19384.6153846154</v>
      </c>
      <c r="AO9" s="46" t="n">
        <f aca="false">SUMIF($C$5:$AL$5,AO$5,$C9:$AL9)</f>
        <v>19384.6153846154</v>
      </c>
    </row>
    <row r="11" customFormat="false" ht="15" hidden="false" customHeight="false" outlineLevel="0" collapsed="false">
      <c r="A11" s="40" t="s">
        <v>330</v>
      </c>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row>
    <row r="12" customFormat="false" ht="15" hidden="false" customHeight="false" outlineLevel="0" collapsed="false">
      <c r="A12" s="10" t="s">
        <v>331</v>
      </c>
      <c r="B12" s="2"/>
      <c r="C12" s="31" t="n">
        <f aca="false">C9*C8</f>
        <v>5815.38461538462</v>
      </c>
      <c r="D12" s="31" t="n">
        <f aca="false">D9*D8</f>
        <v>7753.84615384615</v>
      </c>
      <c r="E12" s="31" t="n">
        <f aca="false">E9*E8</f>
        <v>9207.69230769231</v>
      </c>
      <c r="F12" s="31" t="n">
        <f aca="false">F9*F8</f>
        <v>9692.30769230769</v>
      </c>
      <c r="G12" s="31" t="n">
        <f aca="false">G9*G8</f>
        <v>9692.30769230769</v>
      </c>
      <c r="H12" s="31" t="n">
        <f aca="false">H9*H8</f>
        <v>9692.30769230769</v>
      </c>
      <c r="I12" s="31" t="n">
        <f aca="false">I9*I8</f>
        <v>9692.30769230769</v>
      </c>
      <c r="J12" s="31" t="n">
        <f aca="false">J9*J8</f>
        <v>9692.30769230769</v>
      </c>
      <c r="K12" s="31" t="n">
        <f aca="false">K9*K8</f>
        <v>9692.30769230769</v>
      </c>
      <c r="L12" s="31" t="n">
        <f aca="false">L9*L8</f>
        <v>9692.30769230769</v>
      </c>
      <c r="M12" s="31" t="n">
        <f aca="false">M9*M8</f>
        <v>9692.30769230769</v>
      </c>
      <c r="N12" s="31" t="n">
        <f aca="false">N9*N8</f>
        <v>9692.30769230769</v>
      </c>
      <c r="O12" s="31" t="n">
        <f aca="false">O9*O8</f>
        <v>9692.30769230769</v>
      </c>
      <c r="P12" s="31" t="n">
        <f aca="false">P9*P8</f>
        <v>9692.30769230769</v>
      </c>
      <c r="Q12" s="31" t="n">
        <f aca="false">Q9*Q8</f>
        <v>9692.30769230769</v>
      </c>
      <c r="R12" s="31" t="n">
        <f aca="false">R9*R8</f>
        <v>9692.30769230769</v>
      </c>
      <c r="S12" s="31" t="n">
        <f aca="false">S9*S8</f>
        <v>9692.30769230769</v>
      </c>
      <c r="T12" s="31" t="n">
        <f aca="false">T9*T8</f>
        <v>9692.30769230769</v>
      </c>
      <c r="U12" s="31" t="n">
        <f aca="false">U9*U8</f>
        <v>9692.30769230769</v>
      </c>
      <c r="V12" s="31" t="n">
        <f aca="false">V9*V8</f>
        <v>9692.30769230769</v>
      </c>
      <c r="W12" s="31" t="n">
        <f aca="false">W9*W8</f>
        <v>9692.30769230769</v>
      </c>
      <c r="X12" s="31" t="n">
        <f aca="false">X9*X8</f>
        <v>9692.30769230769</v>
      </c>
      <c r="Y12" s="31" t="n">
        <f aca="false">Y9*Y8</f>
        <v>9692.30769230769</v>
      </c>
      <c r="Z12" s="31" t="n">
        <f aca="false">Z9*Z8</f>
        <v>9692.30769230769</v>
      </c>
      <c r="AA12" s="31" t="n">
        <f aca="false">AA9*AA8</f>
        <v>9692.30769230769</v>
      </c>
      <c r="AB12" s="31" t="n">
        <f aca="false">AB9*AB8</f>
        <v>9692.30769230769</v>
      </c>
      <c r="AC12" s="31" t="n">
        <f aca="false">AC9*AC8</f>
        <v>9692.30769230769</v>
      </c>
      <c r="AD12" s="31" t="n">
        <f aca="false">AD9*AD8</f>
        <v>9692.30769230769</v>
      </c>
      <c r="AE12" s="31" t="n">
        <f aca="false">AE9*AE8</f>
        <v>9692.30769230769</v>
      </c>
      <c r="AF12" s="31" t="n">
        <f aca="false">AF9*AF8</f>
        <v>9692.30769230769</v>
      </c>
      <c r="AG12" s="31" t="n">
        <f aca="false">AG9*AG8</f>
        <v>9692.30769230769</v>
      </c>
      <c r="AH12" s="31" t="n">
        <f aca="false">AH9*AH8</f>
        <v>9692.30769230769</v>
      </c>
      <c r="AI12" s="31" t="n">
        <f aca="false">AI9*AI8</f>
        <v>9692.30769230769</v>
      </c>
      <c r="AJ12" s="31" t="n">
        <f aca="false">AJ9*AJ8</f>
        <v>9692.30769230769</v>
      </c>
      <c r="AK12" s="31" t="n">
        <f aca="false">AK9*AK8</f>
        <v>9692.30769230769</v>
      </c>
      <c r="AL12" s="31" t="n">
        <f aca="false">AL9*AL8</f>
        <v>9692.30769230769</v>
      </c>
      <c r="AM12" s="50" t="n">
        <f aca="false">SUMIF($C$5:$AL$5,AM$5,$C12:$AL12)</f>
        <v>110007.692307692</v>
      </c>
      <c r="AN12" s="50" t="n">
        <f aca="false">SUMIF($C$5:$AL$5,AN$5,$C12:$AL12)</f>
        <v>116307.692307692</v>
      </c>
      <c r="AO12" s="50" t="n">
        <f aca="false">SUMIF($C$5:$AL$5,AO$5,$C12:$AL12)</f>
        <v>116307.692307692</v>
      </c>
    </row>
    <row r="13" customFormat="false" ht="15" hidden="false" customHeight="false" outlineLevel="0" collapsed="false">
      <c r="A13" s="10" t="s">
        <v>137</v>
      </c>
      <c r="B13" s="2"/>
      <c r="C13" s="31" t="n">
        <f aca="false">Revenue!C9*Assumptions!$C$42*C7</f>
        <v>1260</v>
      </c>
      <c r="D13" s="31" t="n">
        <f aca="false">Revenue!D9*Assumptions!$C$42*D7</f>
        <v>1680</v>
      </c>
      <c r="E13" s="31" t="n">
        <f aca="false">Revenue!E9*Assumptions!$C$42*E7</f>
        <v>1995</v>
      </c>
      <c r="F13" s="31" t="n">
        <f aca="false">Revenue!F9*Assumptions!$C$42*F7</f>
        <v>2100</v>
      </c>
      <c r="G13" s="31" t="n">
        <f aca="false">Revenue!G9*Assumptions!$C$42*G7</f>
        <v>2100</v>
      </c>
      <c r="H13" s="31" t="n">
        <f aca="false">Revenue!H9*Assumptions!$C$42*H7</f>
        <v>2100</v>
      </c>
      <c r="I13" s="31" t="n">
        <f aca="false">Revenue!I9*Assumptions!$C$42*I7</f>
        <v>2100</v>
      </c>
      <c r="J13" s="31" t="n">
        <f aca="false">Revenue!J9*Assumptions!$C$42*J7</f>
        <v>2100</v>
      </c>
      <c r="K13" s="31" t="n">
        <f aca="false">Revenue!K9*Assumptions!$C$42*K7</f>
        <v>2100</v>
      </c>
      <c r="L13" s="31" t="n">
        <f aca="false">Revenue!L9*Assumptions!$C$42*L7</f>
        <v>2100</v>
      </c>
      <c r="M13" s="31" t="n">
        <f aca="false">Revenue!M9*Assumptions!$C$42*M7</f>
        <v>2100</v>
      </c>
      <c r="N13" s="31" t="n">
        <f aca="false">Revenue!N9*Assumptions!$C$42*N7</f>
        <v>2100</v>
      </c>
      <c r="O13" s="31" t="n">
        <f aca="false">Revenue!O9*Assumptions!$C$42*O7</f>
        <v>2163</v>
      </c>
      <c r="P13" s="31" t="n">
        <f aca="false">Revenue!P9*Assumptions!$C$42*P7</f>
        <v>2163</v>
      </c>
      <c r="Q13" s="31" t="n">
        <f aca="false">Revenue!Q9*Assumptions!$C$42*Q7</f>
        <v>2163</v>
      </c>
      <c r="R13" s="31" t="n">
        <f aca="false">Revenue!R9*Assumptions!$C$42*R7</f>
        <v>2163</v>
      </c>
      <c r="S13" s="31" t="n">
        <f aca="false">Revenue!S9*Assumptions!$C$42*S7</f>
        <v>2163</v>
      </c>
      <c r="T13" s="31" t="n">
        <f aca="false">Revenue!T9*Assumptions!$C$42*T7</f>
        <v>2163</v>
      </c>
      <c r="U13" s="31" t="n">
        <f aca="false">Revenue!U9*Assumptions!$C$42*U7</f>
        <v>2163</v>
      </c>
      <c r="V13" s="31" t="n">
        <f aca="false">Revenue!V9*Assumptions!$C$42*V7</f>
        <v>2163</v>
      </c>
      <c r="W13" s="31" t="n">
        <f aca="false">Revenue!W9*Assumptions!$C$42*W7</f>
        <v>2163</v>
      </c>
      <c r="X13" s="31" t="n">
        <f aca="false">Revenue!X9*Assumptions!$C$42*X7</f>
        <v>2163</v>
      </c>
      <c r="Y13" s="31" t="n">
        <f aca="false">Revenue!Y9*Assumptions!$C$42*Y7</f>
        <v>2163</v>
      </c>
      <c r="Z13" s="31" t="n">
        <f aca="false">Revenue!Z9*Assumptions!$C$42*Z7</f>
        <v>2163</v>
      </c>
      <c r="AA13" s="31" t="n">
        <f aca="false">Revenue!AA9*Assumptions!$C$42*AA7</f>
        <v>2227.89</v>
      </c>
      <c r="AB13" s="31" t="n">
        <f aca="false">Revenue!AB9*Assumptions!$C$42*AB7</f>
        <v>2227.89</v>
      </c>
      <c r="AC13" s="31" t="n">
        <f aca="false">Revenue!AC9*Assumptions!$C$42*AC7</f>
        <v>2227.89</v>
      </c>
      <c r="AD13" s="31" t="n">
        <f aca="false">Revenue!AD9*Assumptions!$C$42*AD7</f>
        <v>2227.89</v>
      </c>
      <c r="AE13" s="31" t="n">
        <f aca="false">Revenue!AE9*Assumptions!$C$42*AE7</f>
        <v>2227.89</v>
      </c>
      <c r="AF13" s="31" t="n">
        <f aca="false">Revenue!AF9*Assumptions!$C$42*AF7</f>
        <v>2227.89</v>
      </c>
      <c r="AG13" s="31" t="n">
        <f aca="false">Revenue!AG9*Assumptions!$C$42*AG7</f>
        <v>2227.89</v>
      </c>
      <c r="AH13" s="31" t="n">
        <f aca="false">Revenue!AH9*Assumptions!$C$42*AH7</f>
        <v>2227.89</v>
      </c>
      <c r="AI13" s="31" t="n">
        <f aca="false">Revenue!AI9*Assumptions!$C$42*AI7</f>
        <v>2227.89</v>
      </c>
      <c r="AJ13" s="31" t="n">
        <f aca="false">Revenue!AJ9*Assumptions!$C$42*AJ7</f>
        <v>2227.89</v>
      </c>
      <c r="AK13" s="31" t="n">
        <f aca="false">Revenue!AK9*Assumptions!$C$42*AK7</f>
        <v>2227.89</v>
      </c>
      <c r="AL13" s="31" t="n">
        <f aca="false">Revenue!AL9*Assumptions!$C$42*AL7</f>
        <v>2227.89</v>
      </c>
      <c r="AM13" s="50" t="n">
        <f aca="false">SUMIF($C$5:$AL$5,AM$5,$C13:$AL13)</f>
        <v>23835</v>
      </c>
      <c r="AN13" s="50" t="n">
        <f aca="false">SUMIF($C$5:$AL$5,AN$5,$C13:$AL13)</f>
        <v>25956</v>
      </c>
      <c r="AO13" s="50" t="n">
        <f aca="false">SUMIF($C$5:$AL$5,AO$5,$C13:$AL13)</f>
        <v>26734.68</v>
      </c>
    </row>
    <row r="14" customFormat="false" ht="15" hidden="false" customHeight="false" outlineLevel="0" collapsed="false">
      <c r="A14" s="10" t="s">
        <v>139</v>
      </c>
      <c r="B14" s="2"/>
      <c r="C14" s="31" t="n">
        <f aca="false">Revenue!C9*Assumptions!$C$43*C7</f>
        <v>315</v>
      </c>
      <c r="D14" s="31" t="n">
        <f aca="false">Revenue!D9*Assumptions!$C$43*D7</f>
        <v>420</v>
      </c>
      <c r="E14" s="31" t="n">
        <f aca="false">Revenue!E9*Assumptions!$C$43*E7</f>
        <v>498.75</v>
      </c>
      <c r="F14" s="31" t="n">
        <f aca="false">Revenue!F9*Assumptions!$C$43*F7</f>
        <v>525</v>
      </c>
      <c r="G14" s="31" t="n">
        <f aca="false">Revenue!G9*Assumptions!$C$43*G7</f>
        <v>525</v>
      </c>
      <c r="H14" s="31" t="n">
        <f aca="false">Revenue!H9*Assumptions!$C$43*H7</f>
        <v>525</v>
      </c>
      <c r="I14" s="31" t="n">
        <f aca="false">Revenue!I9*Assumptions!$C$43*I7</f>
        <v>525</v>
      </c>
      <c r="J14" s="31" t="n">
        <f aca="false">Revenue!J9*Assumptions!$C$43*J7</f>
        <v>525</v>
      </c>
      <c r="K14" s="31" t="n">
        <f aca="false">Revenue!K9*Assumptions!$C$43*K7</f>
        <v>525</v>
      </c>
      <c r="L14" s="31" t="n">
        <f aca="false">Revenue!L9*Assumptions!$C$43*L7</f>
        <v>525</v>
      </c>
      <c r="M14" s="31" t="n">
        <f aca="false">Revenue!M9*Assumptions!$C$43*M7</f>
        <v>525</v>
      </c>
      <c r="N14" s="31" t="n">
        <f aca="false">Revenue!N9*Assumptions!$C$43*N7</f>
        <v>525</v>
      </c>
      <c r="O14" s="31" t="n">
        <f aca="false">Revenue!O9*Assumptions!$C$43*O7</f>
        <v>540.75</v>
      </c>
      <c r="P14" s="31" t="n">
        <f aca="false">Revenue!P9*Assumptions!$C$43*P7</f>
        <v>540.75</v>
      </c>
      <c r="Q14" s="31" t="n">
        <f aca="false">Revenue!Q9*Assumptions!$C$43*Q7</f>
        <v>540.75</v>
      </c>
      <c r="R14" s="31" t="n">
        <f aca="false">Revenue!R9*Assumptions!$C$43*R7</f>
        <v>540.75</v>
      </c>
      <c r="S14" s="31" t="n">
        <f aca="false">Revenue!S9*Assumptions!$C$43*S7</f>
        <v>540.75</v>
      </c>
      <c r="T14" s="31" t="n">
        <f aca="false">Revenue!T9*Assumptions!$C$43*T7</f>
        <v>540.75</v>
      </c>
      <c r="U14" s="31" t="n">
        <f aca="false">Revenue!U9*Assumptions!$C$43*U7</f>
        <v>540.75</v>
      </c>
      <c r="V14" s="31" t="n">
        <f aca="false">Revenue!V9*Assumptions!$C$43*V7</f>
        <v>540.75</v>
      </c>
      <c r="W14" s="31" t="n">
        <f aca="false">Revenue!W9*Assumptions!$C$43*W7</f>
        <v>540.75</v>
      </c>
      <c r="X14" s="31" t="n">
        <f aca="false">Revenue!X9*Assumptions!$C$43*X7</f>
        <v>540.75</v>
      </c>
      <c r="Y14" s="31" t="n">
        <f aca="false">Revenue!Y9*Assumptions!$C$43*Y7</f>
        <v>540.75</v>
      </c>
      <c r="Z14" s="31" t="n">
        <f aca="false">Revenue!Z9*Assumptions!$C$43*Z7</f>
        <v>540.75</v>
      </c>
      <c r="AA14" s="31" t="n">
        <f aca="false">Revenue!AA9*Assumptions!$C$43*AA7</f>
        <v>556.9725</v>
      </c>
      <c r="AB14" s="31" t="n">
        <f aca="false">Revenue!AB9*Assumptions!$C$43*AB7</f>
        <v>556.9725</v>
      </c>
      <c r="AC14" s="31" t="n">
        <f aca="false">Revenue!AC9*Assumptions!$C$43*AC7</f>
        <v>556.9725</v>
      </c>
      <c r="AD14" s="31" t="n">
        <f aca="false">Revenue!AD9*Assumptions!$C$43*AD7</f>
        <v>556.9725</v>
      </c>
      <c r="AE14" s="31" t="n">
        <f aca="false">Revenue!AE9*Assumptions!$C$43*AE7</f>
        <v>556.9725</v>
      </c>
      <c r="AF14" s="31" t="n">
        <f aca="false">Revenue!AF9*Assumptions!$C$43*AF7</f>
        <v>556.9725</v>
      </c>
      <c r="AG14" s="31" t="n">
        <f aca="false">Revenue!AG9*Assumptions!$C$43*AG7</f>
        <v>556.9725</v>
      </c>
      <c r="AH14" s="31" t="n">
        <f aca="false">Revenue!AH9*Assumptions!$C$43*AH7</f>
        <v>556.9725</v>
      </c>
      <c r="AI14" s="31" t="n">
        <f aca="false">Revenue!AI9*Assumptions!$C$43*AI7</f>
        <v>556.9725</v>
      </c>
      <c r="AJ14" s="31" t="n">
        <f aca="false">Revenue!AJ9*Assumptions!$C$43*AJ7</f>
        <v>556.9725</v>
      </c>
      <c r="AK14" s="31" t="n">
        <f aca="false">Revenue!AK9*Assumptions!$C$43*AK7</f>
        <v>556.9725</v>
      </c>
      <c r="AL14" s="31" t="n">
        <f aca="false">Revenue!AL9*Assumptions!$C$43*AL7</f>
        <v>556.9725</v>
      </c>
      <c r="AM14" s="50" t="n">
        <f aca="false">SUMIF($C$5:$AL$5,AM$5,$C14:$AL14)</f>
        <v>5958.75</v>
      </c>
      <c r="AN14" s="50" t="n">
        <f aca="false">SUMIF($C$5:$AL$5,AN$5,$C14:$AL14)</f>
        <v>6489</v>
      </c>
      <c r="AO14" s="50" t="n">
        <f aca="false">SUMIF($C$5:$AL$5,AO$5,$C14:$AL14)</f>
        <v>6683.67</v>
      </c>
    </row>
    <row r="15" customFormat="false" ht="15" hidden="false" customHeight="false" outlineLevel="0" collapsed="false">
      <c r="A15" s="10" t="s">
        <v>140</v>
      </c>
      <c r="B15" s="2"/>
      <c r="C15" s="31" t="n">
        <f aca="false">Revenue!C9*Assumptions!$C$44*C7</f>
        <v>189</v>
      </c>
      <c r="D15" s="31" t="n">
        <f aca="false">Revenue!D9*Assumptions!$C$44*D7</f>
        <v>252</v>
      </c>
      <c r="E15" s="31" t="n">
        <f aca="false">Revenue!E9*Assumptions!$C$44*E7</f>
        <v>299.25</v>
      </c>
      <c r="F15" s="31" t="n">
        <f aca="false">Revenue!F9*Assumptions!$C$44*F7</f>
        <v>315</v>
      </c>
      <c r="G15" s="31" t="n">
        <f aca="false">Revenue!G9*Assumptions!$C$44*G7</f>
        <v>315</v>
      </c>
      <c r="H15" s="31" t="n">
        <f aca="false">Revenue!H9*Assumptions!$C$44*H7</f>
        <v>315</v>
      </c>
      <c r="I15" s="31" t="n">
        <f aca="false">Revenue!I9*Assumptions!$C$44*I7</f>
        <v>315</v>
      </c>
      <c r="J15" s="31" t="n">
        <f aca="false">Revenue!J9*Assumptions!$C$44*J7</f>
        <v>315</v>
      </c>
      <c r="K15" s="31" t="n">
        <f aca="false">Revenue!K9*Assumptions!$C$44*K7</f>
        <v>315</v>
      </c>
      <c r="L15" s="31" t="n">
        <f aca="false">Revenue!L9*Assumptions!$C$44*L7</f>
        <v>315</v>
      </c>
      <c r="M15" s="31" t="n">
        <f aca="false">Revenue!M9*Assumptions!$C$44*M7</f>
        <v>315</v>
      </c>
      <c r="N15" s="31" t="n">
        <f aca="false">Revenue!N9*Assumptions!$C$44*N7</f>
        <v>315</v>
      </c>
      <c r="O15" s="31" t="n">
        <f aca="false">Revenue!O9*Assumptions!$C$44*O7</f>
        <v>324.45</v>
      </c>
      <c r="P15" s="31" t="n">
        <f aca="false">Revenue!P9*Assumptions!$C$44*P7</f>
        <v>324.45</v>
      </c>
      <c r="Q15" s="31" t="n">
        <f aca="false">Revenue!Q9*Assumptions!$C$44*Q7</f>
        <v>324.45</v>
      </c>
      <c r="R15" s="31" t="n">
        <f aca="false">Revenue!R9*Assumptions!$C$44*R7</f>
        <v>324.45</v>
      </c>
      <c r="S15" s="31" t="n">
        <f aca="false">Revenue!S9*Assumptions!$C$44*S7</f>
        <v>324.45</v>
      </c>
      <c r="T15" s="31" t="n">
        <f aca="false">Revenue!T9*Assumptions!$C$44*T7</f>
        <v>324.45</v>
      </c>
      <c r="U15" s="31" t="n">
        <f aca="false">Revenue!U9*Assumptions!$C$44*U7</f>
        <v>324.45</v>
      </c>
      <c r="V15" s="31" t="n">
        <f aca="false">Revenue!V9*Assumptions!$C$44*V7</f>
        <v>324.45</v>
      </c>
      <c r="W15" s="31" t="n">
        <f aca="false">Revenue!W9*Assumptions!$C$44*W7</f>
        <v>324.45</v>
      </c>
      <c r="X15" s="31" t="n">
        <f aca="false">Revenue!X9*Assumptions!$C$44*X7</f>
        <v>324.45</v>
      </c>
      <c r="Y15" s="31" t="n">
        <f aca="false">Revenue!Y9*Assumptions!$C$44*Y7</f>
        <v>324.45</v>
      </c>
      <c r="Z15" s="31" t="n">
        <f aca="false">Revenue!Z9*Assumptions!$C$44*Z7</f>
        <v>324.45</v>
      </c>
      <c r="AA15" s="31" t="n">
        <f aca="false">Revenue!AA9*Assumptions!$C$44*AA7</f>
        <v>334.1835</v>
      </c>
      <c r="AB15" s="31" t="n">
        <f aca="false">Revenue!AB9*Assumptions!$C$44*AB7</f>
        <v>334.1835</v>
      </c>
      <c r="AC15" s="31" t="n">
        <f aca="false">Revenue!AC9*Assumptions!$C$44*AC7</f>
        <v>334.1835</v>
      </c>
      <c r="AD15" s="31" t="n">
        <f aca="false">Revenue!AD9*Assumptions!$C$44*AD7</f>
        <v>334.1835</v>
      </c>
      <c r="AE15" s="31" t="n">
        <f aca="false">Revenue!AE9*Assumptions!$C$44*AE7</f>
        <v>334.1835</v>
      </c>
      <c r="AF15" s="31" t="n">
        <f aca="false">Revenue!AF9*Assumptions!$C$44*AF7</f>
        <v>334.1835</v>
      </c>
      <c r="AG15" s="31" t="n">
        <f aca="false">Revenue!AG9*Assumptions!$C$44*AG7</f>
        <v>334.1835</v>
      </c>
      <c r="AH15" s="31" t="n">
        <f aca="false">Revenue!AH9*Assumptions!$C$44*AH7</f>
        <v>334.1835</v>
      </c>
      <c r="AI15" s="31" t="n">
        <f aca="false">Revenue!AI9*Assumptions!$C$44*AI7</f>
        <v>334.1835</v>
      </c>
      <c r="AJ15" s="31" t="n">
        <f aca="false">Revenue!AJ9*Assumptions!$C$44*AJ7</f>
        <v>334.1835</v>
      </c>
      <c r="AK15" s="31" t="n">
        <f aca="false">Revenue!AK9*Assumptions!$C$44*AK7</f>
        <v>334.1835</v>
      </c>
      <c r="AL15" s="31" t="n">
        <f aca="false">Revenue!AL9*Assumptions!$C$44*AL7</f>
        <v>334.1835</v>
      </c>
      <c r="AM15" s="50" t="n">
        <f aca="false">SUMIF($C$5:$AL$5,AM$5,$C15:$AL15)</f>
        <v>3575.25</v>
      </c>
      <c r="AN15" s="50" t="n">
        <f aca="false">SUMIF($C$5:$AL$5,AN$5,$C15:$AL15)</f>
        <v>3893.4</v>
      </c>
      <c r="AO15" s="50" t="n">
        <f aca="false">SUMIF($C$5:$AL$5,AO$5,$C15:$AL15)</f>
        <v>4010.202</v>
      </c>
    </row>
    <row r="16" customFormat="false" ht="15" hidden="false" customHeight="false" outlineLevel="0" collapsed="false">
      <c r="A16" s="10" t="s">
        <v>332</v>
      </c>
      <c r="B16" s="2"/>
      <c r="C16" s="31" t="n">
        <f aca="false">Revenue!C9*Assumptions!$C$45</f>
        <v>0</v>
      </c>
      <c r="D16" s="31" t="n">
        <f aca="false">Revenue!D9*Assumptions!$C$45</f>
        <v>0</v>
      </c>
      <c r="E16" s="31" t="n">
        <f aca="false">Revenue!E9*Assumptions!$C$45</f>
        <v>0</v>
      </c>
      <c r="F16" s="31" t="n">
        <f aca="false">Revenue!F9*Assumptions!$C$45</f>
        <v>0</v>
      </c>
      <c r="G16" s="31" t="n">
        <f aca="false">Revenue!G9*Assumptions!$C$45</f>
        <v>0</v>
      </c>
      <c r="H16" s="31" t="n">
        <f aca="false">Revenue!H9*Assumptions!$C$45</f>
        <v>0</v>
      </c>
      <c r="I16" s="31" t="n">
        <f aca="false">Revenue!I9*Assumptions!$C$45</f>
        <v>0</v>
      </c>
      <c r="J16" s="31" t="n">
        <f aca="false">Revenue!J9*Assumptions!$C$45</f>
        <v>0</v>
      </c>
      <c r="K16" s="31" t="n">
        <f aca="false">Revenue!K9*Assumptions!$C$45</f>
        <v>0</v>
      </c>
      <c r="L16" s="31" t="n">
        <f aca="false">Revenue!L9*Assumptions!$C$45</f>
        <v>0</v>
      </c>
      <c r="M16" s="31" t="n">
        <f aca="false">Revenue!M9*Assumptions!$C$45</f>
        <v>0</v>
      </c>
      <c r="N16" s="31" t="n">
        <f aca="false">Revenue!N9*Assumptions!$C$45</f>
        <v>0</v>
      </c>
      <c r="O16" s="31" t="n">
        <f aca="false">Revenue!O9*Assumptions!$C$45</f>
        <v>0</v>
      </c>
      <c r="P16" s="31" t="n">
        <f aca="false">Revenue!P9*Assumptions!$C$45</f>
        <v>0</v>
      </c>
      <c r="Q16" s="31" t="n">
        <f aca="false">Revenue!Q9*Assumptions!$C$45</f>
        <v>0</v>
      </c>
      <c r="R16" s="31" t="n">
        <f aca="false">Revenue!R9*Assumptions!$C$45</f>
        <v>0</v>
      </c>
      <c r="S16" s="31" t="n">
        <f aca="false">Revenue!S9*Assumptions!$C$45</f>
        <v>0</v>
      </c>
      <c r="T16" s="31" t="n">
        <f aca="false">Revenue!T9*Assumptions!$C$45</f>
        <v>0</v>
      </c>
      <c r="U16" s="31" t="n">
        <f aca="false">Revenue!U9*Assumptions!$C$45</f>
        <v>0</v>
      </c>
      <c r="V16" s="31" t="n">
        <f aca="false">Revenue!V9*Assumptions!$C$45</f>
        <v>0</v>
      </c>
      <c r="W16" s="31" t="n">
        <f aca="false">Revenue!W9*Assumptions!$C$45</f>
        <v>0</v>
      </c>
      <c r="X16" s="31" t="n">
        <f aca="false">Revenue!X9*Assumptions!$C$45</f>
        <v>0</v>
      </c>
      <c r="Y16" s="31" t="n">
        <f aca="false">Revenue!Y9*Assumptions!$C$45</f>
        <v>0</v>
      </c>
      <c r="Z16" s="31" t="n">
        <f aca="false">Revenue!Z9*Assumptions!$C$45</f>
        <v>0</v>
      </c>
      <c r="AA16" s="31" t="n">
        <f aca="false">Revenue!AA9*Assumptions!$C$45</f>
        <v>0</v>
      </c>
      <c r="AB16" s="31" t="n">
        <f aca="false">Revenue!AB9*Assumptions!$C$45</f>
        <v>0</v>
      </c>
      <c r="AC16" s="31" t="n">
        <f aca="false">Revenue!AC9*Assumptions!$C$45</f>
        <v>0</v>
      </c>
      <c r="AD16" s="31" t="n">
        <f aca="false">Revenue!AD9*Assumptions!$C$45</f>
        <v>0</v>
      </c>
      <c r="AE16" s="31" t="n">
        <f aca="false">Revenue!AE9*Assumptions!$C$45</f>
        <v>0</v>
      </c>
      <c r="AF16" s="31" t="n">
        <f aca="false">Revenue!AF9*Assumptions!$C$45</f>
        <v>0</v>
      </c>
      <c r="AG16" s="31" t="n">
        <f aca="false">Revenue!AG9*Assumptions!$C$45</f>
        <v>0</v>
      </c>
      <c r="AH16" s="31" t="n">
        <f aca="false">Revenue!AH9*Assumptions!$C$45</f>
        <v>0</v>
      </c>
      <c r="AI16" s="31" t="n">
        <f aca="false">Revenue!AI9*Assumptions!$C$45</f>
        <v>0</v>
      </c>
      <c r="AJ16" s="31" t="n">
        <f aca="false">Revenue!AJ9*Assumptions!$C$45</f>
        <v>0</v>
      </c>
      <c r="AK16" s="31" t="n">
        <f aca="false">Revenue!AK9*Assumptions!$C$45</f>
        <v>0</v>
      </c>
      <c r="AL16" s="31" t="n">
        <f aca="false">Revenue!AL9*Assumptions!$C$45</f>
        <v>0</v>
      </c>
      <c r="AM16" s="50" t="n">
        <f aca="false">SUMIF($C$5:$AL$5,AM$5,$C16:$AL16)</f>
        <v>0</v>
      </c>
      <c r="AN16" s="50" t="n">
        <f aca="false">SUMIF($C$5:$AL$5,AN$5,$C16:$AL16)</f>
        <v>0</v>
      </c>
      <c r="AO16" s="50" t="n">
        <f aca="false">SUMIF($C$5:$AL$5,AO$5,$C16:$AL16)</f>
        <v>0</v>
      </c>
    </row>
    <row r="17" customFormat="false" ht="15" hidden="false" customHeight="false" outlineLevel="0" collapsed="false">
      <c r="A17" s="10" t="s">
        <v>333</v>
      </c>
      <c r="B17" s="2"/>
      <c r="C17" s="31" t="n">
        <f aca="false">Revenue!C9*Assumptions!$C$46*C7</f>
        <v>0</v>
      </c>
      <c r="D17" s="31" t="n">
        <f aca="false">Revenue!D9*Assumptions!$C$46*D7</f>
        <v>0</v>
      </c>
      <c r="E17" s="31" t="n">
        <f aca="false">Revenue!E9*Assumptions!$C$46*E7</f>
        <v>0</v>
      </c>
      <c r="F17" s="31" t="n">
        <f aca="false">Revenue!F9*Assumptions!$C$46*F7</f>
        <v>0</v>
      </c>
      <c r="G17" s="31" t="n">
        <f aca="false">Revenue!G9*Assumptions!$C$46*G7</f>
        <v>0</v>
      </c>
      <c r="H17" s="31" t="n">
        <f aca="false">Revenue!H9*Assumptions!$C$46*H7</f>
        <v>0</v>
      </c>
      <c r="I17" s="31" t="n">
        <f aca="false">Revenue!I9*Assumptions!$C$46*I7</f>
        <v>0</v>
      </c>
      <c r="J17" s="31" t="n">
        <f aca="false">Revenue!J9*Assumptions!$C$46*J7</f>
        <v>0</v>
      </c>
      <c r="K17" s="31" t="n">
        <f aca="false">Revenue!K9*Assumptions!$C$46*K7</f>
        <v>0</v>
      </c>
      <c r="L17" s="31" t="n">
        <f aca="false">Revenue!L9*Assumptions!$C$46*L7</f>
        <v>0</v>
      </c>
      <c r="M17" s="31" t="n">
        <f aca="false">Revenue!M9*Assumptions!$C$46*M7</f>
        <v>0</v>
      </c>
      <c r="N17" s="31" t="n">
        <f aca="false">Revenue!N9*Assumptions!$C$46*N7</f>
        <v>0</v>
      </c>
      <c r="O17" s="31" t="n">
        <f aca="false">Revenue!O9*Assumptions!$C$46*O7</f>
        <v>0</v>
      </c>
      <c r="P17" s="31" t="n">
        <f aca="false">Revenue!P9*Assumptions!$C$46*P7</f>
        <v>0</v>
      </c>
      <c r="Q17" s="31" t="n">
        <f aca="false">Revenue!Q9*Assumptions!$C$46*Q7</f>
        <v>0</v>
      </c>
      <c r="R17" s="31" t="n">
        <f aca="false">Revenue!R9*Assumptions!$C$46*R7</f>
        <v>0</v>
      </c>
      <c r="S17" s="31" t="n">
        <f aca="false">Revenue!S9*Assumptions!$C$46*S7</f>
        <v>0</v>
      </c>
      <c r="T17" s="31" t="n">
        <f aca="false">Revenue!T9*Assumptions!$C$46*T7</f>
        <v>0</v>
      </c>
      <c r="U17" s="31" t="n">
        <f aca="false">Revenue!U9*Assumptions!$C$46*U7</f>
        <v>0</v>
      </c>
      <c r="V17" s="31" t="n">
        <f aca="false">Revenue!V9*Assumptions!$C$46*V7</f>
        <v>0</v>
      </c>
      <c r="W17" s="31" t="n">
        <f aca="false">Revenue!W9*Assumptions!$C$46*W7</f>
        <v>0</v>
      </c>
      <c r="X17" s="31" t="n">
        <f aca="false">Revenue!X9*Assumptions!$C$46*X7</f>
        <v>0</v>
      </c>
      <c r="Y17" s="31" t="n">
        <f aca="false">Revenue!Y9*Assumptions!$C$46*Y7</f>
        <v>0</v>
      </c>
      <c r="Z17" s="31" t="n">
        <f aca="false">Revenue!Z9*Assumptions!$C$46*Z7</f>
        <v>0</v>
      </c>
      <c r="AA17" s="31" t="n">
        <f aca="false">Revenue!AA9*Assumptions!$C$46*AA7</f>
        <v>0</v>
      </c>
      <c r="AB17" s="31" t="n">
        <f aca="false">Revenue!AB9*Assumptions!$C$46*AB7</f>
        <v>0</v>
      </c>
      <c r="AC17" s="31" t="n">
        <f aca="false">Revenue!AC9*Assumptions!$C$46*AC7</f>
        <v>0</v>
      </c>
      <c r="AD17" s="31" t="n">
        <f aca="false">Revenue!AD9*Assumptions!$C$46*AD7</f>
        <v>0</v>
      </c>
      <c r="AE17" s="31" t="n">
        <f aca="false">Revenue!AE9*Assumptions!$C$46*AE7</f>
        <v>0</v>
      </c>
      <c r="AF17" s="31" t="n">
        <f aca="false">Revenue!AF9*Assumptions!$C$46*AF7</f>
        <v>0</v>
      </c>
      <c r="AG17" s="31" t="n">
        <f aca="false">Revenue!AG9*Assumptions!$C$46*AG7</f>
        <v>0</v>
      </c>
      <c r="AH17" s="31" t="n">
        <f aca="false">Revenue!AH9*Assumptions!$C$46*AH7</f>
        <v>0</v>
      </c>
      <c r="AI17" s="31" t="n">
        <f aca="false">Revenue!AI9*Assumptions!$C$46*AI7</f>
        <v>0</v>
      </c>
      <c r="AJ17" s="31" t="n">
        <f aca="false">Revenue!AJ9*Assumptions!$C$46*AJ7</f>
        <v>0</v>
      </c>
      <c r="AK17" s="31" t="n">
        <f aca="false">Revenue!AK9*Assumptions!$C$46*AK7</f>
        <v>0</v>
      </c>
      <c r="AL17" s="31" t="n">
        <f aca="false">Revenue!AL9*Assumptions!$C$46*AL7</f>
        <v>0</v>
      </c>
      <c r="AM17" s="50" t="n">
        <f aca="false">SUMIF($C$5:$AL$5,AM$5,$C17:$AL17)</f>
        <v>0</v>
      </c>
      <c r="AN17" s="50" t="n">
        <f aca="false">SUMIF($C$5:$AL$5,AN$5,$C17:$AL17)</f>
        <v>0</v>
      </c>
      <c r="AO17" s="50" t="n">
        <f aca="false">SUMIF($C$5:$AL$5,AO$5,$C17:$AL17)</f>
        <v>0</v>
      </c>
    </row>
    <row r="18" customFormat="false" ht="15" hidden="false" customHeight="false" outlineLevel="0" collapsed="false">
      <c r="A18" s="42" t="s">
        <v>334</v>
      </c>
      <c r="B18" s="43"/>
      <c r="C18" s="51" t="n">
        <f aca="false">SUM(C12:C17)</f>
        <v>7579.38461538462</v>
      </c>
      <c r="D18" s="51" t="n">
        <f aca="false">SUM(D12:D17)</f>
        <v>10105.8461538462</v>
      </c>
      <c r="E18" s="51" t="n">
        <f aca="false">SUM(E12:E17)</f>
        <v>12000.6923076923</v>
      </c>
      <c r="F18" s="51" t="n">
        <f aca="false">SUM(F12:F17)</f>
        <v>12632.3076923077</v>
      </c>
      <c r="G18" s="51" t="n">
        <f aca="false">SUM(G12:G17)</f>
        <v>12632.3076923077</v>
      </c>
      <c r="H18" s="51" t="n">
        <f aca="false">SUM(H12:H17)</f>
        <v>12632.3076923077</v>
      </c>
      <c r="I18" s="51" t="n">
        <f aca="false">SUM(I12:I17)</f>
        <v>12632.3076923077</v>
      </c>
      <c r="J18" s="51" t="n">
        <f aca="false">SUM(J12:J17)</f>
        <v>12632.3076923077</v>
      </c>
      <c r="K18" s="51" t="n">
        <f aca="false">SUM(K12:K17)</f>
        <v>12632.3076923077</v>
      </c>
      <c r="L18" s="51" t="n">
        <f aca="false">SUM(L12:L17)</f>
        <v>12632.3076923077</v>
      </c>
      <c r="M18" s="51" t="n">
        <f aca="false">SUM(M12:M17)</f>
        <v>12632.3076923077</v>
      </c>
      <c r="N18" s="51" t="n">
        <f aca="false">SUM(N12:N17)</f>
        <v>12632.3076923077</v>
      </c>
      <c r="O18" s="51" t="n">
        <f aca="false">SUM(O12:O17)</f>
        <v>12720.5076923077</v>
      </c>
      <c r="P18" s="51" t="n">
        <f aca="false">SUM(P12:P17)</f>
        <v>12720.5076923077</v>
      </c>
      <c r="Q18" s="51" t="n">
        <f aca="false">SUM(Q12:Q17)</f>
        <v>12720.5076923077</v>
      </c>
      <c r="R18" s="51" t="n">
        <f aca="false">SUM(R12:R17)</f>
        <v>12720.5076923077</v>
      </c>
      <c r="S18" s="51" t="n">
        <f aca="false">SUM(S12:S17)</f>
        <v>12720.5076923077</v>
      </c>
      <c r="T18" s="51" t="n">
        <f aca="false">SUM(T12:T17)</f>
        <v>12720.5076923077</v>
      </c>
      <c r="U18" s="51" t="n">
        <f aca="false">SUM(U12:U17)</f>
        <v>12720.5076923077</v>
      </c>
      <c r="V18" s="51" t="n">
        <f aca="false">SUM(V12:V17)</f>
        <v>12720.5076923077</v>
      </c>
      <c r="W18" s="51" t="n">
        <f aca="false">SUM(W12:W17)</f>
        <v>12720.5076923077</v>
      </c>
      <c r="X18" s="51" t="n">
        <f aca="false">SUM(X12:X17)</f>
        <v>12720.5076923077</v>
      </c>
      <c r="Y18" s="51" t="n">
        <f aca="false">SUM(Y12:Y17)</f>
        <v>12720.5076923077</v>
      </c>
      <c r="Z18" s="51" t="n">
        <f aca="false">SUM(Z12:Z17)</f>
        <v>12720.5076923077</v>
      </c>
      <c r="AA18" s="51" t="n">
        <f aca="false">SUM(AA12:AA17)</f>
        <v>12811.3536923077</v>
      </c>
      <c r="AB18" s="51" t="n">
        <f aca="false">SUM(AB12:AB17)</f>
        <v>12811.3536923077</v>
      </c>
      <c r="AC18" s="51" t="n">
        <f aca="false">SUM(AC12:AC17)</f>
        <v>12811.3536923077</v>
      </c>
      <c r="AD18" s="51" t="n">
        <f aca="false">SUM(AD12:AD17)</f>
        <v>12811.3536923077</v>
      </c>
      <c r="AE18" s="51" t="n">
        <f aca="false">SUM(AE12:AE17)</f>
        <v>12811.3536923077</v>
      </c>
      <c r="AF18" s="51" t="n">
        <f aca="false">SUM(AF12:AF17)</f>
        <v>12811.3536923077</v>
      </c>
      <c r="AG18" s="51" t="n">
        <f aca="false">SUM(AG12:AG17)</f>
        <v>12811.3536923077</v>
      </c>
      <c r="AH18" s="51" t="n">
        <f aca="false">SUM(AH12:AH17)</f>
        <v>12811.3536923077</v>
      </c>
      <c r="AI18" s="51" t="n">
        <f aca="false">SUM(AI12:AI17)</f>
        <v>12811.3536923077</v>
      </c>
      <c r="AJ18" s="51" t="n">
        <f aca="false">SUM(AJ12:AJ17)</f>
        <v>12811.3536923077</v>
      </c>
      <c r="AK18" s="51" t="n">
        <f aca="false">SUM(AK12:AK17)</f>
        <v>12811.3536923077</v>
      </c>
      <c r="AL18" s="51" t="n">
        <f aca="false">SUM(AL12:AL17)</f>
        <v>12811.3536923077</v>
      </c>
      <c r="AM18" s="52" t="n">
        <f aca="false">SUMIF($C$5:$AL$5,AM$5,$C18:$AL18)</f>
        <v>143376.692307692</v>
      </c>
      <c r="AN18" s="52" t="n">
        <f aca="false">SUMIF($C$5:$AL$5,AN$5,$C18:$AL18)</f>
        <v>152646.092307692</v>
      </c>
      <c r="AO18" s="52" t="n">
        <f aca="false">SUMIF($C$5:$AL$5,AO$5,$C18:$AL18)</f>
        <v>153736.244307692</v>
      </c>
    </row>
    <row r="20" customFormat="false" ht="15" hidden="false" customHeight="false" outlineLevel="0" collapsed="false">
      <c r="A20" s="40" t="s">
        <v>335</v>
      </c>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row>
    <row r="21" customFormat="false" ht="15" hidden="false" customHeight="false" outlineLevel="0" collapsed="false">
      <c r="A21" s="10" t="s">
        <v>336</v>
      </c>
      <c r="B21" s="2"/>
      <c r="C21" s="31" t="n">
        <f aca="false">(Assumptions!$C$50*Assumptions!$C$135+Assumptions!$C$51)*C7/12</f>
        <v>1333.33333333333</v>
      </c>
      <c r="D21" s="31" t="n">
        <f aca="false">(Assumptions!$C$50*Assumptions!$C$135+Assumptions!$C$51)*D7/12</f>
        <v>1333.33333333333</v>
      </c>
      <c r="E21" s="31" t="n">
        <f aca="false">(Assumptions!$C$50*Assumptions!$C$135+Assumptions!$C$51)*E7/12</f>
        <v>1333.33333333333</v>
      </c>
      <c r="F21" s="31" t="n">
        <f aca="false">(Assumptions!$C$50*Assumptions!$C$135+Assumptions!$C$51)*F7/12</f>
        <v>1333.33333333333</v>
      </c>
      <c r="G21" s="31" t="n">
        <f aca="false">(Assumptions!$C$50*Assumptions!$C$135+Assumptions!$C$51)*G7/12</f>
        <v>1333.33333333333</v>
      </c>
      <c r="H21" s="31" t="n">
        <f aca="false">(Assumptions!$C$50*Assumptions!$C$135+Assumptions!$C$51)*H7/12</f>
        <v>1333.33333333333</v>
      </c>
      <c r="I21" s="31" t="n">
        <f aca="false">(Assumptions!$C$50*Assumptions!$C$135+Assumptions!$C$51)*I7/12</f>
        <v>1333.33333333333</v>
      </c>
      <c r="J21" s="31" t="n">
        <f aca="false">(Assumptions!$C$50*Assumptions!$C$135+Assumptions!$C$51)*J7/12</f>
        <v>1333.33333333333</v>
      </c>
      <c r="K21" s="31" t="n">
        <f aca="false">(Assumptions!$C$50*Assumptions!$C$135+Assumptions!$C$51)*K7/12</f>
        <v>1333.33333333333</v>
      </c>
      <c r="L21" s="31" t="n">
        <f aca="false">(Assumptions!$C$50*Assumptions!$C$135+Assumptions!$C$51)*L7/12</f>
        <v>1333.33333333333</v>
      </c>
      <c r="M21" s="31" t="n">
        <f aca="false">(Assumptions!$C$50*Assumptions!$C$135+Assumptions!$C$51)*M7/12</f>
        <v>1333.33333333333</v>
      </c>
      <c r="N21" s="31" t="n">
        <f aca="false">(Assumptions!$C$50*Assumptions!$C$135+Assumptions!$C$51)*N7/12</f>
        <v>1333.33333333333</v>
      </c>
      <c r="O21" s="31" t="n">
        <f aca="false">(Assumptions!$C$50*Assumptions!$C$135+Assumptions!$C$51)*O7/12</f>
        <v>1373.33333333333</v>
      </c>
      <c r="P21" s="31" t="n">
        <f aca="false">(Assumptions!$C$50*Assumptions!$C$135+Assumptions!$C$51)*P7/12</f>
        <v>1373.33333333333</v>
      </c>
      <c r="Q21" s="31" t="n">
        <f aca="false">(Assumptions!$C$50*Assumptions!$C$135+Assumptions!$C$51)*Q7/12</f>
        <v>1373.33333333333</v>
      </c>
      <c r="R21" s="31" t="n">
        <f aca="false">(Assumptions!$C$50*Assumptions!$C$135+Assumptions!$C$51)*R7/12</f>
        <v>1373.33333333333</v>
      </c>
      <c r="S21" s="31" t="n">
        <f aca="false">(Assumptions!$C$50*Assumptions!$C$135+Assumptions!$C$51)*S7/12</f>
        <v>1373.33333333333</v>
      </c>
      <c r="T21" s="31" t="n">
        <f aca="false">(Assumptions!$C$50*Assumptions!$C$135+Assumptions!$C$51)*T7/12</f>
        <v>1373.33333333333</v>
      </c>
      <c r="U21" s="31" t="n">
        <f aca="false">(Assumptions!$C$50*Assumptions!$C$135+Assumptions!$C$51)*U7/12</f>
        <v>1373.33333333333</v>
      </c>
      <c r="V21" s="31" t="n">
        <f aca="false">(Assumptions!$C$50*Assumptions!$C$135+Assumptions!$C$51)*V7/12</f>
        <v>1373.33333333333</v>
      </c>
      <c r="W21" s="31" t="n">
        <f aca="false">(Assumptions!$C$50*Assumptions!$C$135+Assumptions!$C$51)*W7/12</f>
        <v>1373.33333333333</v>
      </c>
      <c r="X21" s="31" t="n">
        <f aca="false">(Assumptions!$C$50*Assumptions!$C$135+Assumptions!$C$51)*X7/12</f>
        <v>1373.33333333333</v>
      </c>
      <c r="Y21" s="31" t="n">
        <f aca="false">(Assumptions!$C$50*Assumptions!$C$135+Assumptions!$C$51)*Y7/12</f>
        <v>1373.33333333333</v>
      </c>
      <c r="Z21" s="31" t="n">
        <f aca="false">(Assumptions!$C$50*Assumptions!$C$135+Assumptions!$C$51)*Z7/12</f>
        <v>1373.33333333333</v>
      </c>
      <c r="AA21" s="31" t="n">
        <f aca="false">(Assumptions!$C$50*Assumptions!$C$135+Assumptions!$C$51)*AA7/12</f>
        <v>1414.53333333333</v>
      </c>
      <c r="AB21" s="31" t="n">
        <f aca="false">(Assumptions!$C$50*Assumptions!$C$135+Assumptions!$C$51)*AB7/12</f>
        <v>1414.53333333333</v>
      </c>
      <c r="AC21" s="31" t="n">
        <f aca="false">(Assumptions!$C$50*Assumptions!$C$135+Assumptions!$C$51)*AC7/12</f>
        <v>1414.53333333333</v>
      </c>
      <c r="AD21" s="31" t="n">
        <f aca="false">(Assumptions!$C$50*Assumptions!$C$135+Assumptions!$C$51)*AD7/12</f>
        <v>1414.53333333333</v>
      </c>
      <c r="AE21" s="31" t="n">
        <f aca="false">(Assumptions!$C$50*Assumptions!$C$135+Assumptions!$C$51)*AE7/12</f>
        <v>1414.53333333333</v>
      </c>
      <c r="AF21" s="31" t="n">
        <f aca="false">(Assumptions!$C$50*Assumptions!$C$135+Assumptions!$C$51)*AF7/12</f>
        <v>1414.53333333333</v>
      </c>
      <c r="AG21" s="31" t="n">
        <f aca="false">(Assumptions!$C$50*Assumptions!$C$135+Assumptions!$C$51)*AG7/12</f>
        <v>1414.53333333333</v>
      </c>
      <c r="AH21" s="31" t="n">
        <f aca="false">(Assumptions!$C$50*Assumptions!$C$135+Assumptions!$C$51)*AH7/12</f>
        <v>1414.53333333333</v>
      </c>
      <c r="AI21" s="31" t="n">
        <f aca="false">(Assumptions!$C$50*Assumptions!$C$135+Assumptions!$C$51)*AI7/12</f>
        <v>1414.53333333333</v>
      </c>
      <c r="AJ21" s="31" t="n">
        <f aca="false">(Assumptions!$C$50*Assumptions!$C$135+Assumptions!$C$51)*AJ7/12</f>
        <v>1414.53333333333</v>
      </c>
      <c r="AK21" s="31" t="n">
        <f aca="false">(Assumptions!$C$50*Assumptions!$C$135+Assumptions!$C$51)*AK7/12</f>
        <v>1414.53333333333</v>
      </c>
      <c r="AL21" s="31" t="n">
        <f aca="false">(Assumptions!$C$50*Assumptions!$C$135+Assumptions!$C$51)*AL7/12</f>
        <v>1414.53333333333</v>
      </c>
      <c r="AM21" s="50" t="n">
        <f aca="false">SUMIF($C$5:$AL$5,AM$5,$C21:$AL21)</f>
        <v>16000</v>
      </c>
      <c r="AN21" s="50" t="n">
        <f aca="false">SUMIF($C$5:$AL$5,AN$5,$C21:$AL21)</f>
        <v>16480</v>
      </c>
      <c r="AO21" s="50" t="n">
        <f aca="false">SUMIF($C$5:$AL$5,AO$5,$C21:$AL21)</f>
        <v>16974.4</v>
      </c>
    </row>
    <row r="22" customFormat="false" ht="15" hidden="false" customHeight="false" outlineLevel="0" collapsed="false">
      <c r="A22" s="10" t="s">
        <v>337</v>
      </c>
      <c r="B22" s="2"/>
      <c r="C22" s="31" t="n">
        <f aca="false">Compliance!$H$20/12</f>
        <v>250.416666666667</v>
      </c>
      <c r="D22" s="31" t="n">
        <f aca="false">Compliance!$H$20/12</f>
        <v>250.416666666667</v>
      </c>
      <c r="E22" s="31" t="n">
        <f aca="false">Compliance!$H$20/12</f>
        <v>250.416666666667</v>
      </c>
      <c r="F22" s="31" t="n">
        <f aca="false">Compliance!$H$20/12</f>
        <v>250.416666666667</v>
      </c>
      <c r="G22" s="31" t="n">
        <f aca="false">Compliance!$H$20/12</f>
        <v>250.416666666667</v>
      </c>
      <c r="H22" s="31" t="n">
        <f aca="false">Compliance!$H$20/12</f>
        <v>250.416666666667</v>
      </c>
      <c r="I22" s="31" t="n">
        <f aca="false">Compliance!$H$20/12</f>
        <v>250.416666666667</v>
      </c>
      <c r="J22" s="31" t="n">
        <f aca="false">Compliance!$H$20/12</f>
        <v>250.416666666667</v>
      </c>
      <c r="K22" s="31" t="n">
        <f aca="false">Compliance!$H$20/12</f>
        <v>250.416666666667</v>
      </c>
      <c r="L22" s="31" t="n">
        <f aca="false">Compliance!$H$20/12</f>
        <v>250.416666666667</v>
      </c>
      <c r="M22" s="31" t="n">
        <f aca="false">Compliance!$H$20/12</f>
        <v>250.416666666667</v>
      </c>
      <c r="N22" s="31" t="n">
        <f aca="false">Compliance!$H$20/12</f>
        <v>250.416666666667</v>
      </c>
      <c r="O22" s="31" t="n">
        <f aca="false">Compliance!$H$20/12</f>
        <v>250.416666666667</v>
      </c>
      <c r="P22" s="31" t="n">
        <f aca="false">Compliance!$H$20/12</f>
        <v>250.416666666667</v>
      </c>
      <c r="Q22" s="31" t="n">
        <f aca="false">Compliance!$H$20/12</f>
        <v>250.416666666667</v>
      </c>
      <c r="R22" s="31" t="n">
        <f aca="false">Compliance!$H$20/12</f>
        <v>250.416666666667</v>
      </c>
      <c r="S22" s="31" t="n">
        <f aca="false">Compliance!$H$20/12</f>
        <v>250.416666666667</v>
      </c>
      <c r="T22" s="31" t="n">
        <f aca="false">Compliance!$H$20/12</f>
        <v>250.416666666667</v>
      </c>
      <c r="U22" s="31" t="n">
        <f aca="false">Compliance!$H$20/12</f>
        <v>250.416666666667</v>
      </c>
      <c r="V22" s="31" t="n">
        <f aca="false">Compliance!$H$20/12</f>
        <v>250.416666666667</v>
      </c>
      <c r="W22" s="31" t="n">
        <f aca="false">Compliance!$H$20/12</f>
        <v>250.416666666667</v>
      </c>
      <c r="X22" s="31" t="n">
        <f aca="false">Compliance!$H$20/12</f>
        <v>250.416666666667</v>
      </c>
      <c r="Y22" s="31" t="n">
        <f aca="false">Compliance!$H$20/12</f>
        <v>250.416666666667</v>
      </c>
      <c r="Z22" s="31" t="n">
        <f aca="false">Compliance!$H$20/12</f>
        <v>250.416666666667</v>
      </c>
      <c r="AA22" s="31" t="n">
        <f aca="false">Compliance!$H$20/12</f>
        <v>250.416666666667</v>
      </c>
      <c r="AB22" s="31" t="n">
        <f aca="false">Compliance!$H$20/12</f>
        <v>250.416666666667</v>
      </c>
      <c r="AC22" s="31" t="n">
        <f aca="false">Compliance!$H$20/12</f>
        <v>250.416666666667</v>
      </c>
      <c r="AD22" s="31" t="n">
        <f aca="false">Compliance!$H$20/12</f>
        <v>250.416666666667</v>
      </c>
      <c r="AE22" s="31" t="n">
        <f aca="false">Compliance!$H$20/12</f>
        <v>250.416666666667</v>
      </c>
      <c r="AF22" s="31" t="n">
        <f aca="false">Compliance!$H$20/12</f>
        <v>250.416666666667</v>
      </c>
      <c r="AG22" s="31" t="n">
        <f aca="false">Compliance!$H$20/12</f>
        <v>250.416666666667</v>
      </c>
      <c r="AH22" s="31" t="n">
        <f aca="false">Compliance!$H$20/12</f>
        <v>250.416666666667</v>
      </c>
      <c r="AI22" s="31" t="n">
        <f aca="false">Compliance!$H$20/12</f>
        <v>250.416666666667</v>
      </c>
      <c r="AJ22" s="31" t="n">
        <f aca="false">Compliance!$H$20/12</f>
        <v>250.416666666667</v>
      </c>
      <c r="AK22" s="31" t="n">
        <f aca="false">Compliance!$H$20/12</f>
        <v>250.416666666667</v>
      </c>
      <c r="AL22" s="31" t="n">
        <f aca="false">Compliance!$H$20/12</f>
        <v>250.416666666667</v>
      </c>
      <c r="AM22" s="50" t="n">
        <f aca="false">SUMIF($C$5:$AL$5,AM$5,$C22:$AL22)</f>
        <v>3005</v>
      </c>
      <c r="AN22" s="50" t="n">
        <f aca="false">SUMIF($C$5:$AL$5,AN$5,$C22:$AL22)</f>
        <v>3005</v>
      </c>
      <c r="AO22" s="50" t="n">
        <f aca="false">SUMIF($C$5:$AL$5,AO$5,$C22:$AL22)</f>
        <v>3005</v>
      </c>
    </row>
    <row r="23" customFormat="false" ht="15" hidden="false" customHeight="false" outlineLevel="0" collapsed="false">
      <c r="A23" s="10" t="s">
        <v>154</v>
      </c>
      <c r="B23" s="2"/>
      <c r="C23" s="31" t="n">
        <f aca="false">Assumptions!$C$53*Compliance!$F$16*C7</f>
        <v>40</v>
      </c>
      <c r="D23" s="31" t="n">
        <f aca="false">Assumptions!$C$53*Compliance!$F$16*D7</f>
        <v>40</v>
      </c>
      <c r="E23" s="31" t="n">
        <f aca="false">Assumptions!$C$53*Compliance!$F$16*E7</f>
        <v>40</v>
      </c>
      <c r="F23" s="31" t="n">
        <f aca="false">Assumptions!$C$53*Compliance!$F$16*F7</f>
        <v>40</v>
      </c>
      <c r="G23" s="31" t="n">
        <f aca="false">Assumptions!$C$53*Compliance!$F$16*G7</f>
        <v>40</v>
      </c>
      <c r="H23" s="31" t="n">
        <f aca="false">Assumptions!$C$53*Compliance!$F$16*H7</f>
        <v>40</v>
      </c>
      <c r="I23" s="31" t="n">
        <f aca="false">Assumptions!$C$53*Compliance!$F$16*I7</f>
        <v>40</v>
      </c>
      <c r="J23" s="31" t="n">
        <f aca="false">Assumptions!$C$53*Compliance!$F$16*J7</f>
        <v>40</v>
      </c>
      <c r="K23" s="31" t="n">
        <f aca="false">Assumptions!$C$53*Compliance!$F$16*K7</f>
        <v>40</v>
      </c>
      <c r="L23" s="31" t="n">
        <f aca="false">Assumptions!$C$53*Compliance!$F$16*L7</f>
        <v>40</v>
      </c>
      <c r="M23" s="31" t="n">
        <f aca="false">Assumptions!$C$53*Compliance!$F$16*M7</f>
        <v>40</v>
      </c>
      <c r="N23" s="31" t="n">
        <f aca="false">Assumptions!$C$53*Compliance!$F$16*N7</f>
        <v>40</v>
      </c>
      <c r="O23" s="31" t="n">
        <f aca="false">Assumptions!$C$53*Compliance!$F$16*O7</f>
        <v>41.2</v>
      </c>
      <c r="P23" s="31" t="n">
        <f aca="false">Assumptions!$C$53*Compliance!$F$16*P7</f>
        <v>41.2</v>
      </c>
      <c r="Q23" s="31" t="n">
        <f aca="false">Assumptions!$C$53*Compliance!$F$16*Q7</f>
        <v>41.2</v>
      </c>
      <c r="R23" s="31" t="n">
        <f aca="false">Assumptions!$C$53*Compliance!$F$16*R7</f>
        <v>41.2</v>
      </c>
      <c r="S23" s="31" t="n">
        <f aca="false">Assumptions!$C$53*Compliance!$F$16*S7</f>
        <v>41.2</v>
      </c>
      <c r="T23" s="31" t="n">
        <f aca="false">Assumptions!$C$53*Compliance!$F$16*T7</f>
        <v>41.2</v>
      </c>
      <c r="U23" s="31" t="n">
        <f aca="false">Assumptions!$C$53*Compliance!$F$16*U7</f>
        <v>41.2</v>
      </c>
      <c r="V23" s="31" t="n">
        <f aca="false">Assumptions!$C$53*Compliance!$F$16*V7</f>
        <v>41.2</v>
      </c>
      <c r="W23" s="31" t="n">
        <f aca="false">Assumptions!$C$53*Compliance!$F$16*W7</f>
        <v>41.2</v>
      </c>
      <c r="X23" s="31" t="n">
        <f aca="false">Assumptions!$C$53*Compliance!$F$16*X7</f>
        <v>41.2</v>
      </c>
      <c r="Y23" s="31" t="n">
        <f aca="false">Assumptions!$C$53*Compliance!$F$16*Y7</f>
        <v>41.2</v>
      </c>
      <c r="Z23" s="31" t="n">
        <f aca="false">Assumptions!$C$53*Compliance!$F$16*Z7</f>
        <v>41.2</v>
      </c>
      <c r="AA23" s="31" t="n">
        <f aca="false">Assumptions!$C$53*Compliance!$F$16*AA7</f>
        <v>42.436</v>
      </c>
      <c r="AB23" s="31" t="n">
        <f aca="false">Assumptions!$C$53*Compliance!$F$16*AB7</f>
        <v>42.436</v>
      </c>
      <c r="AC23" s="31" t="n">
        <f aca="false">Assumptions!$C$53*Compliance!$F$16*AC7</f>
        <v>42.436</v>
      </c>
      <c r="AD23" s="31" t="n">
        <f aca="false">Assumptions!$C$53*Compliance!$F$16*AD7</f>
        <v>42.436</v>
      </c>
      <c r="AE23" s="31" t="n">
        <f aca="false">Assumptions!$C$53*Compliance!$F$16*AE7</f>
        <v>42.436</v>
      </c>
      <c r="AF23" s="31" t="n">
        <f aca="false">Assumptions!$C$53*Compliance!$F$16*AF7</f>
        <v>42.436</v>
      </c>
      <c r="AG23" s="31" t="n">
        <f aca="false">Assumptions!$C$53*Compliance!$F$16*AG7</f>
        <v>42.436</v>
      </c>
      <c r="AH23" s="31" t="n">
        <f aca="false">Assumptions!$C$53*Compliance!$F$16*AH7</f>
        <v>42.436</v>
      </c>
      <c r="AI23" s="31" t="n">
        <f aca="false">Assumptions!$C$53*Compliance!$F$16*AI7</f>
        <v>42.436</v>
      </c>
      <c r="AJ23" s="31" t="n">
        <f aca="false">Assumptions!$C$53*Compliance!$F$16*AJ7</f>
        <v>42.436</v>
      </c>
      <c r="AK23" s="31" t="n">
        <f aca="false">Assumptions!$C$53*Compliance!$F$16*AK7</f>
        <v>42.436</v>
      </c>
      <c r="AL23" s="31" t="n">
        <f aca="false">Assumptions!$C$53*Compliance!$F$16*AL7</f>
        <v>42.436</v>
      </c>
      <c r="AM23" s="50" t="n">
        <f aca="false">SUMIF($C$5:$AL$5,AM$5,$C23:$AL23)</f>
        <v>480</v>
      </c>
      <c r="AN23" s="50" t="n">
        <f aca="false">SUMIF($C$5:$AL$5,AN$5,$C23:$AL23)</f>
        <v>494.4</v>
      </c>
      <c r="AO23" s="50" t="n">
        <f aca="false">SUMIF($C$5:$AL$5,AO$5,$C23:$AL23)</f>
        <v>509.232</v>
      </c>
    </row>
    <row r="24" customFormat="false" ht="15" hidden="false" customHeight="false" outlineLevel="0" collapsed="false">
      <c r="A24" s="10" t="s">
        <v>157</v>
      </c>
      <c r="B24" s="2"/>
      <c r="C24" s="31" t="n">
        <f aca="false">Assumptions!$C$54*C7</f>
        <v>400</v>
      </c>
      <c r="D24" s="31" t="n">
        <f aca="false">Assumptions!$C$54*D7</f>
        <v>400</v>
      </c>
      <c r="E24" s="31" t="n">
        <f aca="false">Assumptions!$C$54*E7</f>
        <v>400</v>
      </c>
      <c r="F24" s="31" t="n">
        <f aca="false">Assumptions!$C$54*F7</f>
        <v>400</v>
      </c>
      <c r="G24" s="31" t="n">
        <f aca="false">Assumptions!$C$54*G7</f>
        <v>400</v>
      </c>
      <c r="H24" s="31" t="n">
        <f aca="false">Assumptions!$C$54*H7</f>
        <v>400</v>
      </c>
      <c r="I24" s="31" t="n">
        <f aca="false">Assumptions!$C$54*I7</f>
        <v>400</v>
      </c>
      <c r="J24" s="31" t="n">
        <f aca="false">Assumptions!$C$54*J7</f>
        <v>400</v>
      </c>
      <c r="K24" s="31" t="n">
        <f aca="false">Assumptions!$C$54*K7</f>
        <v>400</v>
      </c>
      <c r="L24" s="31" t="n">
        <f aca="false">Assumptions!$C$54*L7</f>
        <v>400</v>
      </c>
      <c r="M24" s="31" t="n">
        <f aca="false">Assumptions!$C$54*M7</f>
        <v>400</v>
      </c>
      <c r="N24" s="31" t="n">
        <f aca="false">Assumptions!$C$54*N7</f>
        <v>400</v>
      </c>
      <c r="O24" s="31" t="n">
        <f aca="false">Assumptions!$C$54*O7</f>
        <v>412</v>
      </c>
      <c r="P24" s="31" t="n">
        <f aca="false">Assumptions!$C$54*P7</f>
        <v>412</v>
      </c>
      <c r="Q24" s="31" t="n">
        <f aca="false">Assumptions!$C$54*Q7</f>
        <v>412</v>
      </c>
      <c r="R24" s="31" t="n">
        <f aca="false">Assumptions!$C$54*R7</f>
        <v>412</v>
      </c>
      <c r="S24" s="31" t="n">
        <f aca="false">Assumptions!$C$54*S7</f>
        <v>412</v>
      </c>
      <c r="T24" s="31" t="n">
        <f aca="false">Assumptions!$C$54*T7</f>
        <v>412</v>
      </c>
      <c r="U24" s="31" t="n">
        <f aca="false">Assumptions!$C$54*U7</f>
        <v>412</v>
      </c>
      <c r="V24" s="31" t="n">
        <f aca="false">Assumptions!$C$54*V7</f>
        <v>412</v>
      </c>
      <c r="W24" s="31" t="n">
        <f aca="false">Assumptions!$C$54*W7</f>
        <v>412</v>
      </c>
      <c r="X24" s="31" t="n">
        <f aca="false">Assumptions!$C$54*X7</f>
        <v>412</v>
      </c>
      <c r="Y24" s="31" t="n">
        <f aca="false">Assumptions!$C$54*Y7</f>
        <v>412</v>
      </c>
      <c r="Z24" s="31" t="n">
        <f aca="false">Assumptions!$C$54*Z7</f>
        <v>412</v>
      </c>
      <c r="AA24" s="31" t="n">
        <f aca="false">Assumptions!$C$54*AA7</f>
        <v>424.36</v>
      </c>
      <c r="AB24" s="31" t="n">
        <f aca="false">Assumptions!$C$54*AB7</f>
        <v>424.36</v>
      </c>
      <c r="AC24" s="31" t="n">
        <f aca="false">Assumptions!$C$54*AC7</f>
        <v>424.36</v>
      </c>
      <c r="AD24" s="31" t="n">
        <f aca="false">Assumptions!$C$54*AD7</f>
        <v>424.36</v>
      </c>
      <c r="AE24" s="31" t="n">
        <f aca="false">Assumptions!$C$54*AE7</f>
        <v>424.36</v>
      </c>
      <c r="AF24" s="31" t="n">
        <f aca="false">Assumptions!$C$54*AF7</f>
        <v>424.36</v>
      </c>
      <c r="AG24" s="31" t="n">
        <f aca="false">Assumptions!$C$54*AG7</f>
        <v>424.36</v>
      </c>
      <c r="AH24" s="31" t="n">
        <f aca="false">Assumptions!$C$54*AH7</f>
        <v>424.36</v>
      </c>
      <c r="AI24" s="31" t="n">
        <f aca="false">Assumptions!$C$54*AI7</f>
        <v>424.36</v>
      </c>
      <c r="AJ24" s="31" t="n">
        <f aca="false">Assumptions!$C$54*AJ7</f>
        <v>424.36</v>
      </c>
      <c r="AK24" s="31" t="n">
        <f aca="false">Assumptions!$C$54*AK7</f>
        <v>424.36</v>
      </c>
      <c r="AL24" s="31" t="n">
        <f aca="false">Assumptions!$C$54*AL7</f>
        <v>424.36</v>
      </c>
      <c r="AM24" s="50" t="n">
        <f aca="false">SUMIF($C$5:$AL$5,AM$5,$C24:$AL24)</f>
        <v>4800</v>
      </c>
      <c r="AN24" s="50" t="n">
        <f aca="false">SUMIF($C$5:$AL$5,AN$5,$C24:$AL24)</f>
        <v>4944</v>
      </c>
      <c r="AO24" s="50" t="n">
        <f aca="false">SUMIF($C$5:$AL$5,AO$5,$C24:$AL24)</f>
        <v>5092.32</v>
      </c>
    </row>
    <row r="25" customFormat="false" ht="15" hidden="false" customHeight="false" outlineLevel="0" collapsed="false">
      <c r="A25" s="10" t="s">
        <v>338</v>
      </c>
      <c r="B25" s="2"/>
      <c r="C25" s="31" t="n">
        <f aca="false">Assumptions!$C$55*C7</f>
        <v>150</v>
      </c>
      <c r="D25" s="31" t="n">
        <f aca="false">Assumptions!$C$55*D7</f>
        <v>150</v>
      </c>
      <c r="E25" s="31" t="n">
        <f aca="false">Assumptions!$C$55*E7</f>
        <v>150</v>
      </c>
      <c r="F25" s="31" t="n">
        <f aca="false">Assumptions!$C$55*F7</f>
        <v>150</v>
      </c>
      <c r="G25" s="31" t="n">
        <f aca="false">Assumptions!$C$55*G7</f>
        <v>150</v>
      </c>
      <c r="H25" s="31" t="n">
        <f aca="false">Assumptions!$C$55*H7</f>
        <v>150</v>
      </c>
      <c r="I25" s="31" t="n">
        <f aca="false">Assumptions!$C$55*I7</f>
        <v>150</v>
      </c>
      <c r="J25" s="31" t="n">
        <f aca="false">Assumptions!$C$55*J7</f>
        <v>150</v>
      </c>
      <c r="K25" s="31" t="n">
        <f aca="false">Assumptions!$C$55*K7</f>
        <v>150</v>
      </c>
      <c r="L25" s="31" t="n">
        <f aca="false">Assumptions!$C$55*L7</f>
        <v>150</v>
      </c>
      <c r="M25" s="31" t="n">
        <f aca="false">Assumptions!$C$55*M7</f>
        <v>150</v>
      </c>
      <c r="N25" s="31" t="n">
        <f aca="false">Assumptions!$C$55*N7</f>
        <v>150</v>
      </c>
      <c r="O25" s="31" t="n">
        <f aca="false">Assumptions!$C$55*O7</f>
        <v>154.5</v>
      </c>
      <c r="P25" s="31" t="n">
        <f aca="false">Assumptions!$C$55*P7</f>
        <v>154.5</v>
      </c>
      <c r="Q25" s="31" t="n">
        <f aca="false">Assumptions!$C$55*Q7</f>
        <v>154.5</v>
      </c>
      <c r="R25" s="31" t="n">
        <f aca="false">Assumptions!$C$55*R7</f>
        <v>154.5</v>
      </c>
      <c r="S25" s="31" t="n">
        <f aca="false">Assumptions!$C$55*S7</f>
        <v>154.5</v>
      </c>
      <c r="T25" s="31" t="n">
        <f aca="false">Assumptions!$C$55*T7</f>
        <v>154.5</v>
      </c>
      <c r="U25" s="31" t="n">
        <f aca="false">Assumptions!$C$55*U7</f>
        <v>154.5</v>
      </c>
      <c r="V25" s="31" t="n">
        <f aca="false">Assumptions!$C$55*V7</f>
        <v>154.5</v>
      </c>
      <c r="W25" s="31" t="n">
        <f aca="false">Assumptions!$C$55*W7</f>
        <v>154.5</v>
      </c>
      <c r="X25" s="31" t="n">
        <f aca="false">Assumptions!$C$55*X7</f>
        <v>154.5</v>
      </c>
      <c r="Y25" s="31" t="n">
        <f aca="false">Assumptions!$C$55*Y7</f>
        <v>154.5</v>
      </c>
      <c r="Z25" s="31" t="n">
        <f aca="false">Assumptions!$C$55*Z7</f>
        <v>154.5</v>
      </c>
      <c r="AA25" s="31" t="n">
        <f aca="false">Assumptions!$C$55*AA7</f>
        <v>159.135</v>
      </c>
      <c r="AB25" s="31" t="n">
        <f aca="false">Assumptions!$C$55*AB7</f>
        <v>159.135</v>
      </c>
      <c r="AC25" s="31" t="n">
        <f aca="false">Assumptions!$C$55*AC7</f>
        <v>159.135</v>
      </c>
      <c r="AD25" s="31" t="n">
        <f aca="false">Assumptions!$C$55*AD7</f>
        <v>159.135</v>
      </c>
      <c r="AE25" s="31" t="n">
        <f aca="false">Assumptions!$C$55*AE7</f>
        <v>159.135</v>
      </c>
      <c r="AF25" s="31" t="n">
        <f aca="false">Assumptions!$C$55*AF7</f>
        <v>159.135</v>
      </c>
      <c r="AG25" s="31" t="n">
        <f aca="false">Assumptions!$C$55*AG7</f>
        <v>159.135</v>
      </c>
      <c r="AH25" s="31" t="n">
        <f aca="false">Assumptions!$C$55*AH7</f>
        <v>159.135</v>
      </c>
      <c r="AI25" s="31" t="n">
        <f aca="false">Assumptions!$C$55*AI7</f>
        <v>159.135</v>
      </c>
      <c r="AJ25" s="31" t="n">
        <f aca="false">Assumptions!$C$55*AJ7</f>
        <v>159.135</v>
      </c>
      <c r="AK25" s="31" t="n">
        <f aca="false">Assumptions!$C$55*AK7</f>
        <v>159.135</v>
      </c>
      <c r="AL25" s="31" t="n">
        <f aca="false">Assumptions!$C$55*AL7</f>
        <v>159.135</v>
      </c>
      <c r="AM25" s="50" t="n">
        <f aca="false">SUMIF($C$5:$AL$5,AM$5,$C25:$AL25)</f>
        <v>1800</v>
      </c>
      <c r="AN25" s="50" t="n">
        <f aca="false">SUMIF($C$5:$AL$5,AN$5,$C25:$AL25)</f>
        <v>1854</v>
      </c>
      <c r="AO25" s="50" t="n">
        <f aca="false">SUMIF($C$5:$AL$5,AO$5,$C25:$AL25)</f>
        <v>1909.62</v>
      </c>
    </row>
    <row r="26" customFormat="false" ht="15" hidden="false" customHeight="false" outlineLevel="0" collapsed="false">
      <c r="A26" s="10" t="s">
        <v>159</v>
      </c>
      <c r="B26" s="2"/>
      <c r="C26" s="31" t="n">
        <f aca="false">Assumptions!$C$56*C7</f>
        <v>100</v>
      </c>
      <c r="D26" s="31" t="n">
        <f aca="false">Assumptions!$C$56*D7</f>
        <v>100</v>
      </c>
      <c r="E26" s="31" t="n">
        <f aca="false">Assumptions!$C$56*E7</f>
        <v>100</v>
      </c>
      <c r="F26" s="31" t="n">
        <f aca="false">Assumptions!$C$56*F7</f>
        <v>100</v>
      </c>
      <c r="G26" s="31" t="n">
        <f aca="false">Assumptions!$C$56*G7</f>
        <v>100</v>
      </c>
      <c r="H26" s="31" t="n">
        <f aca="false">Assumptions!$C$56*H7</f>
        <v>100</v>
      </c>
      <c r="I26" s="31" t="n">
        <f aca="false">Assumptions!$C$56*I7</f>
        <v>100</v>
      </c>
      <c r="J26" s="31" t="n">
        <f aca="false">Assumptions!$C$56*J7</f>
        <v>100</v>
      </c>
      <c r="K26" s="31" t="n">
        <f aca="false">Assumptions!$C$56*K7</f>
        <v>100</v>
      </c>
      <c r="L26" s="31" t="n">
        <f aca="false">Assumptions!$C$56*L7</f>
        <v>100</v>
      </c>
      <c r="M26" s="31" t="n">
        <f aca="false">Assumptions!$C$56*M7</f>
        <v>100</v>
      </c>
      <c r="N26" s="31" t="n">
        <f aca="false">Assumptions!$C$56*N7</f>
        <v>100</v>
      </c>
      <c r="O26" s="31" t="n">
        <f aca="false">Assumptions!$C$56*O7</f>
        <v>103</v>
      </c>
      <c r="P26" s="31" t="n">
        <f aca="false">Assumptions!$C$56*P7</f>
        <v>103</v>
      </c>
      <c r="Q26" s="31" t="n">
        <f aca="false">Assumptions!$C$56*Q7</f>
        <v>103</v>
      </c>
      <c r="R26" s="31" t="n">
        <f aca="false">Assumptions!$C$56*R7</f>
        <v>103</v>
      </c>
      <c r="S26" s="31" t="n">
        <f aca="false">Assumptions!$C$56*S7</f>
        <v>103</v>
      </c>
      <c r="T26" s="31" t="n">
        <f aca="false">Assumptions!$C$56*T7</f>
        <v>103</v>
      </c>
      <c r="U26" s="31" t="n">
        <f aca="false">Assumptions!$C$56*U7</f>
        <v>103</v>
      </c>
      <c r="V26" s="31" t="n">
        <f aca="false">Assumptions!$C$56*V7</f>
        <v>103</v>
      </c>
      <c r="W26" s="31" t="n">
        <f aca="false">Assumptions!$C$56*W7</f>
        <v>103</v>
      </c>
      <c r="X26" s="31" t="n">
        <f aca="false">Assumptions!$C$56*X7</f>
        <v>103</v>
      </c>
      <c r="Y26" s="31" t="n">
        <f aca="false">Assumptions!$C$56*Y7</f>
        <v>103</v>
      </c>
      <c r="Z26" s="31" t="n">
        <f aca="false">Assumptions!$C$56*Z7</f>
        <v>103</v>
      </c>
      <c r="AA26" s="31" t="n">
        <f aca="false">Assumptions!$C$56*AA7</f>
        <v>106.09</v>
      </c>
      <c r="AB26" s="31" t="n">
        <f aca="false">Assumptions!$C$56*AB7</f>
        <v>106.09</v>
      </c>
      <c r="AC26" s="31" t="n">
        <f aca="false">Assumptions!$C$56*AC7</f>
        <v>106.09</v>
      </c>
      <c r="AD26" s="31" t="n">
        <f aca="false">Assumptions!$C$56*AD7</f>
        <v>106.09</v>
      </c>
      <c r="AE26" s="31" t="n">
        <f aca="false">Assumptions!$C$56*AE7</f>
        <v>106.09</v>
      </c>
      <c r="AF26" s="31" t="n">
        <f aca="false">Assumptions!$C$56*AF7</f>
        <v>106.09</v>
      </c>
      <c r="AG26" s="31" t="n">
        <f aca="false">Assumptions!$C$56*AG7</f>
        <v>106.09</v>
      </c>
      <c r="AH26" s="31" t="n">
        <f aca="false">Assumptions!$C$56*AH7</f>
        <v>106.09</v>
      </c>
      <c r="AI26" s="31" t="n">
        <f aca="false">Assumptions!$C$56*AI7</f>
        <v>106.09</v>
      </c>
      <c r="AJ26" s="31" t="n">
        <f aca="false">Assumptions!$C$56*AJ7</f>
        <v>106.09</v>
      </c>
      <c r="AK26" s="31" t="n">
        <f aca="false">Assumptions!$C$56*AK7</f>
        <v>106.09</v>
      </c>
      <c r="AL26" s="31" t="n">
        <f aca="false">Assumptions!$C$56*AL7</f>
        <v>106.09</v>
      </c>
      <c r="AM26" s="50" t="n">
        <f aca="false">SUMIF($C$5:$AL$5,AM$5,$C26:$AL26)</f>
        <v>1200</v>
      </c>
      <c r="AN26" s="50" t="n">
        <f aca="false">SUMIF($C$5:$AL$5,AN$5,$C26:$AL26)</f>
        <v>1236</v>
      </c>
      <c r="AO26" s="50" t="n">
        <f aca="false">SUMIF($C$5:$AL$5,AO$5,$C26:$AL26)</f>
        <v>1273.08</v>
      </c>
    </row>
    <row r="27" customFormat="false" ht="15" hidden="false" customHeight="false" outlineLevel="0" collapsed="false">
      <c r="A27" s="42" t="s">
        <v>339</v>
      </c>
      <c r="B27" s="43"/>
      <c r="C27" s="51" t="n">
        <f aca="false">SUM(C21:C26)</f>
        <v>2273.75</v>
      </c>
      <c r="D27" s="51" t="n">
        <f aca="false">SUM(D21:D26)</f>
        <v>2273.75</v>
      </c>
      <c r="E27" s="51" t="n">
        <f aca="false">SUM(E21:E26)</f>
        <v>2273.75</v>
      </c>
      <c r="F27" s="51" t="n">
        <f aca="false">SUM(F21:F26)</f>
        <v>2273.75</v>
      </c>
      <c r="G27" s="51" t="n">
        <f aca="false">SUM(G21:G26)</f>
        <v>2273.75</v>
      </c>
      <c r="H27" s="51" t="n">
        <f aca="false">SUM(H21:H26)</f>
        <v>2273.75</v>
      </c>
      <c r="I27" s="51" t="n">
        <f aca="false">SUM(I21:I26)</f>
        <v>2273.75</v>
      </c>
      <c r="J27" s="51" t="n">
        <f aca="false">SUM(J21:J26)</f>
        <v>2273.75</v>
      </c>
      <c r="K27" s="51" t="n">
        <f aca="false">SUM(K21:K26)</f>
        <v>2273.75</v>
      </c>
      <c r="L27" s="51" t="n">
        <f aca="false">SUM(L21:L26)</f>
        <v>2273.75</v>
      </c>
      <c r="M27" s="51" t="n">
        <f aca="false">SUM(M21:M26)</f>
        <v>2273.75</v>
      </c>
      <c r="N27" s="51" t="n">
        <f aca="false">SUM(N21:N26)</f>
        <v>2273.75</v>
      </c>
      <c r="O27" s="51" t="n">
        <f aca="false">SUM(O21:O26)</f>
        <v>2334.45</v>
      </c>
      <c r="P27" s="51" t="n">
        <f aca="false">SUM(P21:P26)</f>
        <v>2334.45</v>
      </c>
      <c r="Q27" s="51" t="n">
        <f aca="false">SUM(Q21:Q26)</f>
        <v>2334.45</v>
      </c>
      <c r="R27" s="51" t="n">
        <f aca="false">SUM(R21:R26)</f>
        <v>2334.45</v>
      </c>
      <c r="S27" s="51" t="n">
        <f aca="false">SUM(S21:S26)</f>
        <v>2334.45</v>
      </c>
      <c r="T27" s="51" t="n">
        <f aca="false">SUM(T21:T26)</f>
        <v>2334.45</v>
      </c>
      <c r="U27" s="51" t="n">
        <f aca="false">SUM(U21:U26)</f>
        <v>2334.45</v>
      </c>
      <c r="V27" s="51" t="n">
        <f aca="false">SUM(V21:V26)</f>
        <v>2334.45</v>
      </c>
      <c r="W27" s="51" t="n">
        <f aca="false">SUM(W21:W26)</f>
        <v>2334.45</v>
      </c>
      <c r="X27" s="51" t="n">
        <f aca="false">SUM(X21:X26)</f>
        <v>2334.45</v>
      </c>
      <c r="Y27" s="51" t="n">
        <f aca="false">SUM(Y21:Y26)</f>
        <v>2334.45</v>
      </c>
      <c r="Z27" s="51" t="n">
        <f aca="false">SUM(Z21:Z26)</f>
        <v>2334.45</v>
      </c>
      <c r="AA27" s="51" t="n">
        <f aca="false">SUM(AA21:AA26)</f>
        <v>2396.971</v>
      </c>
      <c r="AB27" s="51" t="n">
        <f aca="false">SUM(AB21:AB26)</f>
        <v>2396.971</v>
      </c>
      <c r="AC27" s="51" t="n">
        <f aca="false">SUM(AC21:AC26)</f>
        <v>2396.971</v>
      </c>
      <c r="AD27" s="51" t="n">
        <f aca="false">SUM(AD21:AD26)</f>
        <v>2396.971</v>
      </c>
      <c r="AE27" s="51" t="n">
        <f aca="false">SUM(AE21:AE26)</f>
        <v>2396.971</v>
      </c>
      <c r="AF27" s="51" t="n">
        <f aca="false">SUM(AF21:AF26)</f>
        <v>2396.971</v>
      </c>
      <c r="AG27" s="51" t="n">
        <f aca="false">SUM(AG21:AG26)</f>
        <v>2396.971</v>
      </c>
      <c r="AH27" s="51" t="n">
        <f aca="false">SUM(AH21:AH26)</f>
        <v>2396.971</v>
      </c>
      <c r="AI27" s="51" t="n">
        <f aca="false">SUM(AI21:AI26)</f>
        <v>2396.971</v>
      </c>
      <c r="AJ27" s="51" t="n">
        <f aca="false">SUM(AJ21:AJ26)</f>
        <v>2396.971</v>
      </c>
      <c r="AK27" s="51" t="n">
        <f aca="false">SUM(AK21:AK26)</f>
        <v>2396.971</v>
      </c>
      <c r="AL27" s="51" t="n">
        <f aca="false">SUM(AL21:AL26)</f>
        <v>2396.971</v>
      </c>
      <c r="AM27" s="52" t="n">
        <f aca="false">SUMIF($C$5:$AL$5,AM$5,$C27:$AL27)</f>
        <v>27285</v>
      </c>
      <c r="AN27" s="52" t="n">
        <f aca="false">SUMIF($C$5:$AL$5,AN$5,$C27:$AL27)</f>
        <v>28013.4</v>
      </c>
      <c r="AO27" s="52" t="n">
        <f aca="false">SUMIF($C$5:$AL$5,AO$5,$C27:$AL27)</f>
        <v>28763.652</v>
      </c>
    </row>
    <row r="29" customFormat="false" ht="15" hidden="false" customHeight="false" outlineLevel="0" collapsed="false">
      <c r="A29" s="40" t="s">
        <v>340</v>
      </c>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row>
    <row r="30" customFormat="false" ht="15" hidden="false" customHeight="false" outlineLevel="0" collapsed="false">
      <c r="A30" s="10" t="s">
        <v>341</v>
      </c>
      <c r="B30" s="2"/>
      <c r="C30" s="31" t="n">
        <f aca="false">Revenue!C22*Assumptions!$C$32*Assumptions!$C$33</f>
        <v>0</v>
      </c>
      <c r="D30" s="31" t="n">
        <f aca="false">Revenue!D22*Assumptions!$C$32*Assumptions!$C$33</f>
        <v>0</v>
      </c>
      <c r="E30" s="31" t="n">
        <f aca="false">Revenue!E22*Assumptions!$C$32*Assumptions!$C$33</f>
        <v>0</v>
      </c>
      <c r="F30" s="31" t="n">
        <f aca="false">Revenue!F22*Assumptions!$C$32*Assumptions!$C$33</f>
        <v>0</v>
      </c>
      <c r="G30" s="31" t="n">
        <f aca="false">Revenue!G22*Assumptions!$C$32*Assumptions!$C$33</f>
        <v>0</v>
      </c>
      <c r="H30" s="31" t="n">
        <f aca="false">Revenue!H22*Assumptions!$C$32*Assumptions!$C$33</f>
        <v>0</v>
      </c>
      <c r="I30" s="31" t="n">
        <f aca="false">Revenue!I22*Assumptions!$C$32*Assumptions!$C$33</f>
        <v>0</v>
      </c>
      <c r="J30" s="31" t="n">
        <f aca="false">Revenue!J22*Assumptions!$C$32*Assumptions!$C$33</f>
        <v>0</v>
      </c>
      <c r="K30" s="31" t="n">
        <f aca="false">Revenue!K22*Assumptions!$C$32*Assumptions!$C$33</f>
        <v>0</v>
      </c>
      <c r="L30" s="31" t="n">
        <f aca="false">Revenue!L22*Assumptions!$C$32*Assumptions!$C$33</f>
        <v>0</v>
      </c>
      <c r="M30" s="31" t="n">
        <f aca="false">Revenue!M22*Assumptions!$C$32*Assumptions!$C$33</f>
        <v>0</v>
      </c>
      <c r="N30" s="31" t="n">
        <f aca="false">Revenue!N22*Assumptions!$C$32*Assumptions!$C$33</f>
        <v>0</v>
      </c>
      <c r="O30" s="31" t="n">
        <f aca="false">Revenue!O22*Assumptions!$C$32*Assumptions!$C$33</f>
        <v>0</v>
      </c>
      <c r="P30" s="31" t="n">
        <f aca="false">Revenue!P22*Assumptions!$C$32*Assumptions!$C$33</f>
        <v>0</v>
      </c>
      <c r="Q30" s="31" t="n">
        <f aca="false">Revenue!Q22*Assumptions!$C$32*Assumptions!$C$33</f>
        <v>0</v>
      </c>
      <c r="R30" s="31" t="n">
        <f aca="false">Revenue!R22*Assumptions!$C$32*Assumptions!$C$33</f>
        <v>0</v>
      </c>
      <c r="S30" s="31" t="n">
        <f aca="false">Revenue!S22*Assumptions!$C$32*Assumptions!$C$33</f>
        <v>0</v>
      </c>
      <c r="T30" s="31" t="n">
        <f aca="false">Revenue!T22*Assumptions!$C$32*Assumptions!$C$33</f>
        <v>0</v>
      </c>
      <c r="U30" s="31" t="n">
        <f aca="false">Revenue!U22*Assumptions!$C$32*Assumptions!$C$33</f>
        <v>0</v>
      </c>
      <c r="V30" s="31" t="n">
        <f aca="false">Revenue!V22*Assumptions!$C$32*Assumptions!$C$33</f>
        <v>0</v>
      </c>
      <c r="W30" s="31" t="n">
        <f aca="false">Revenue!W22*Assumptions!$C$32*Assumptions!$C$33</f>
        <v>0</v>
      </c>
      <c r="X30" s="31" t="n">
        <f aca="false">Revenue!X22*Assumptions!$C$32*Assumptions!$C$33</f>
        <v>0</v>
      </c>
      <c r="Y30" s="31" t="n">
        <f aca="false">Revenue!Y22*Assumptions!$C$32*Assumptions!$C$33</f>
        <v>0</v>
      </c>
      <c r="Z30" s="31" t="n">
        <f aca="false">Revenue!Z22*Assumptions!$C$32*Assumptions!$C$33</f>
        <v>0</v>
      </c>
      <c r="AA30" s="31" t="n">
        <f aca="false">Revenue!AA22*Assumptions!$C$32*Assumptions!$C$33</f>
        <v>0</v>
      </c>
      <c r="AB30" s="31" t="n">
        <f aca="false">Revenue!AB22*Assumptions!$C$32*Assumptions!$C$33</f>
        <v>0</v>
      </c>
      <c r="AC30" s="31" t="n">
        <f aca="false">Revenue!AC22*Assumptions!$C$32*Assumptions!$C$33</f>
        <v>0</v>
      </c>
      <c r="AD30" s="31" t="n">
        <f aca="false">Revenue!AD22*Assumptions!$C$32*Assumptions!$C$33</f>
        <v>0</v>
      </c>
      <c r="AE30" s="31" t="n">
        <f aca="false">Revenue!AE22*Assumptions!$C$32*Assumptions!$C$33</f>
        <v>0</v>
      </c>
      <c r="AF30" s="31" t="n">
        <f aca="false">Revenue!AF22*Assumptions!$C$32*Assumptions!$C$33</f>
        <v>0</v>
      </c>
      <c r="AG30" s="31" t="n">
        <f aca="false">Revenue!AG22*Assumptions!$C$32*Assumptions!$C$33</f>
        <v>0</v>
      </c>
      <c r="AH30" s="31" t="n">
        <f aca="false">Revenue!AH22*Assumptions!$C$32*Assumptions!$C$33</f>
        <v>0</v>
      </c>
      <c r="AI30" s="31" t="n">
        <f aca="false">Revenue!AI22*Assumptions!$C$32*Assumptions!$C$33</f>
        <v>0</v>
      </c>
      <c r="AJ30" s="31" t="n">
        <f aca="false">Revenue!AJ22*Assumptions!$C$32*Assumptions!$C$33</f>
        <v>0</v>
      </c>
      <c r="AK30" s="31" t="n">
        <f aca="false">Revenue!AK22*Assumptions!$C$32*Assumptions!$C$33</f>
        <v>0</v>
      </c>
      <c r="AL30" s="31" t="n">
        <f aca="false">Revenue!AL22*Assumptions!$C$32*Assumptions!$C$33</f>
        <v>0</v>
      </c>
      <c r="AM30" s="50" t="n">
        <f aca="false">SUMIF($C$5:$AL$5,AM$5,$C30:$AL30)</f>
        <v>0</v>
      </c>
      <c r="AN30" s="50" t="n">
        <f aca="false">SUMIF($C$5:$AL$5,AN$5,$C30:$AL30)</f>
        <v>0</v>
      </c>
      <c r="AO30" s="50" t="n">
        <f aca="false">SUMIF($C$5:$AL$5,AO$5,$C30:$AL30)</f>
        <v>0</v>
      </c>
    </row>
    <row r="31" customFormat="false" ht="15" hidden="false" customHeight="false" outlineLevel="0" collapsed="false">
      <c r="A31" s="10" t="s">
        <v>342</v>
      </c>
      <c r="B31" s="2"/>
      <c r="C31" s="31" t="n">
        <f aca="false">Revenue!C22*Assumptions!$C$34</f>
        <v>0</v>
      </c>
      <c r="D31" s="31" t="n">
        <f aca="false">Revenue!D22*Assumptions!$C$34</f>
        <v>0</v>
      </c>
      <c r="E31" s="31" t="n">
        <f aca="false">Revenue!E22*Assumptions!$C$34</f>
        <v>0</v>
      </c>
      <c r="F31" s="31" t="n">
        <f aca="false">Revenue!F22*Assumptions!$C$34</f>
        <v>0</v>
      </c>
      <c r="G31" s="31" t="n">
        <f aca="false">Revenue!G22*Assumptions!$C$34</f>
        <v>0</v>
      </c>
      <c r="H31" s="31" t="n">
        <f aca="false">Revenue!H22*Assumptions!$C$34</f>
        <v>0</v>
      </c>
      <c r="I31" s="31" t="n">
        <f aca="false">Revenue!I22*Assumptions!$C$34</f>
        <v>0</v>
      </c>
      <c r="J31" s="31" t="n">
        <f aca="false">Revenue!J22*Assumptions!$C$34</f>
        <v>0</v>
      </c>
      <c r="K31" s="31" t="n">
        <f aca="false">Revenue!K22*Assumptions!$C$34</f>
        <v>0</v>
      </c>
      <c r="L31" s="31" t="n">
        <f aca="false">Revenue!L22*Assumptions!$C$34</f>
        <v>0</v>
      </c>
      <c r="M31" s="31" t="n">
        <f aca="false">Revenue!M22*Assumptions!$C$34</f>
        <v>0</v>
      </c>
      <c r="N31" s="31" t="n">
        <f aca="false">Revenue!N22*Assumptions!$C$34</f>
        <v>0</v>
      </c>
      <c r="O31" s="31" t="n">
        <f aca="false">Revenue!O22*Assumptions!$C$34</f>
        <v>0</v>
      </c>
      <c r="P31" s="31" t="n">
        <f aca="false">Revenue!P22*Assumptions!$C$34</f>
        <v>0</v>
      </c>
      <c r="Q31" s="31" t="n">
        <f aca="false">Revenue!Q22*Assumptions!$C$34</f>
        <v>0</v>
      </c>
      <c r="R31" s="31" t="n">
        <f aca="false">Revenue!R22*Assumptions!$C$34</f>
        <v>0</v>
      </c>
      <c r="S31" s="31" t="n">
        <f aca="false">Revenue!S22*Assumptions!$C$34</f>
        <v>0</v>
      </c>
      <c r="T31" s="31" t="n">
        <f aca="false">Revenue!T22*Assumptions!$C$34</f>
        <v>0</v>
      </c>
      <c r="U31" s="31" t="n">
        <f aca="false">Revenue!U22*Assumptions!$C$34</f>
        <v>0</v>
      </c>
      <c r="V31" s="31" t="n">
        <f aca="false">Revenue!V22*Assumptions!$C$34</f>
        <v>0</v>
      </c>
      <c r="W31" s="31" t="n">
        <f aca="false">Revenue!W22*Assumptions!$C$34</f>
        <v>0</v>
      </c>
      <c r="X31" s="31" t="n">
        <f aca="false">Revenue!X22*Assumptions!$C$34</f>
        <v>0</v>
      </c>
      <c r="Y31" s="31" t="n">
        <f aca="false">Revenue!Y22*Assumptions!$C$34</f>
        <v>0</v>
      </c>
      <c r="Z31" s="31" t="n">
        <f aca="false">Revenue!Z22*Assumptions!$C$34</f>
        <v>0</v>
      </c>
      <c r="AA31" s="31" t="n">
        <f aca="false">Revenue!AA22*Assumptions!$C$34</f>
        <v>0</v>
      </c>
      <c r="AB31" s="31" t="n">
        <f aca="false">Revenue!AB22*Assumptions!$C$34</f>
        <v>0</v>
      </c>
      <c r="AC31" s="31" t="n">
        <f aca="false">Revenue!AC22*Assumptions!$C$34</f>
        <v>0</v>
      </c>
      <c r="AD31" s="31" t="n">
        <f aca="false">Revenue!AD22*Assumptions!$C$34</f>
        <v>0</v>
      </c>
      <c r="AE31" s="31" t="n">
        <f aca="false">Revenue!AE22*Assumptions!$C$34</f>
        <v>0</v>
      </c>
      <c r="AF31" s="31" t="n">
        <f aca="false">Revenue!AF22*Assumptions!$C$34</f>
        <v>0</v>
      </c>
      <c r="AG31" s="31" t="n">
        <f aca="false">Revenue!AG22*Assumptions!$C$34</f>
        <v>0</v>
      </c>
      <c r="AH31" s="31" t="n">
        <f aca="false">Revenue!AH22*Assumptions!$C$34</f>
        <v>0</v>
      </c>
      <c r="AI31" s="31" t="n">
        <f aca="false">Revenue!AI22*Assumptions!$C$34</f>
        <v>0</v>
      </c>
      <c r="AJ31" s="31" t="n">
        <f aca="false">Revenue!AJ22*Assumptions!$C$34</f>
        <v>0</v>
      </c>
      <c r="AK31" s="31" t="n">
        <f aca="false">Revenue!AK22*Assumptions!$C$34</f>
        <v>0</v>
      </c>
      <c r="AL31" s="31" t="n">
        <f aca="false">Revenue!AL22*Assumptions!$C$34</f>
        <v>0</v>
      </c>
      <c r="AM31" s="50" t="n">
        <f aca="false">SUMIF($C$5:$AL$5,AM$5,$C31:$AL31)</f>
        <v>0</v>
      </c>
      <c r="AN31" s="50" t="n">
        <f aca="false">SUMIF($C$5:$AL$5,AN$5,$C31:$AL31)</f>
        <v>0</v>
      </c>
      <c r="AO31" s="50" t="n">
        <f aca="false">SUMIF($C$5:$AL$5,AO$5,$C31:$AL31)</f>
        <v>0</v>
      </c>
    </row>
    <row r="32" customFormat="false" ht="15" hidden="false" customHeight="false" outlineLevel="0" collapsed="false">
      <c r="A32" s="42" t="s">
        <v>343</v>
      </c>
      <c r="B32" s="43"/>
      <c r="C32" s="51" t="n">
        <f aca="false">C30+C31</f>
        <v>0</v>
      </c>
      <c r="D32" s="51" t="n">
        <f aca="false">D30+D31</f>
        <v>0</v>
      </c>
      <c r="E32" s="51" t="n">
        <f aca="false">E30+E31</f>
        <v>0</v>
      </c>
      <c r="F32" s="51" t="n">
        <f aca="false">F30+F31</f>
        <v>0</v>
      </c>
      <c r="G32" s="51" t="n">
        <f aca="false">G30+G31</f>
        <v>0</v>
      </c>
      <c r="H32" s="51" t="n">
        <f aca="false">H30+H31</f>
        <v>0</v>
      </c>
      <c r="I32" s="51" t="n">
        <f aca="false">I30+I31</f>
        <v>0</v>
      </c>
      <c r="J32" s="51" t="n">
        <f aca="false">J30+J31</f>
        <v>0</v>
      </c>
      <c r="K32" s="51" t="n">
        <f aca="false">K30+K31</f>
        <v>0</v>
      </c>
      <c r="L32" s="51" t="n">
        <f aca="false">L30+L31</f>
        <v>0</v>
      </c>
      <c r="M32" s="51" t="n">
        <f aca="false">M30+M31</f>
        <v>0</v>
      </c>
      <c r="N32" s="51" t="n">
        <f aca="false">N30+N31</f>
        <v>0</v>
      </c>
      <c r="O32" s="51" t="n">
        <f aca="false">O30+O31</f>
        <v>0</v>
      </c>
      <c r="P32" s="51" t="n">
        <f aca="false">P30+P31</f>
        <v>0</v>
      </c>
      <c r="Q32" s="51" t="n">
        <f aca="false">Q30+Q31</f>
        <v>0</v>
      </c>
      <c r="R32" s="51" t="n">
        <f aca="false">R30+R31</f>
        <v>0</v>
      </c>
      <c r="S32" s="51" t="n">
        <f aca="false">S30+S31</f>
        <v>0</v>
      </c>
      <c r="T32" s="51" t="n">
        <f aca="false">T30+T31</f>
        <v>0</v>
      </c>
      <c r="U32" s="51" t="n">
        <f aca="false">U30+U31</f>
        <v>0</v>
      </c>
      <c r="V32" s="51" t="n">
        <f aca="false">V30+V31</f>
        <v>0</v>
      </c>
      <c r="W32" s="51" t="n">
        <f aca="false">W30+W31</f>
        <v>0</v>
      </c>
      <c r="X32" s="51" t="n">
        <f aca="false">X30+X31</f>
        <v>0</v>
      </c>
      <c r="Y32" s="51" t="n">
        <f aca="false">Y30+Y31</f>
        <v>0</v>
      </c>
      <c r="Z32" s="51" t="n">
        <f aca="false">Z30+Z31</f>
        <v>0</v>
      </c>
      <c r="AA32" s="51" t="n">
        <f aca="false">AA30+AA31</f>
        <v>0</v>
      </c>
      <c r="AB32" s="51" t="n">
        <f aca="false">AB30+AB31</f>
        <v>0</v>
      </c>
      <c r="AC32" s="51" t="n">
        <f aca="false">AC30+AC31</f>
        <v>0</v>
      </c>
      <c r="AD32" s="51" t="n">
        <f aca="false">AD30+AD31</f>
        <v>0</v>
      </c>
      <c r="AE32" s="51" t="n">
        <f aca="false">AE30+AE31</f>
        <v>0</v>
      </c>
      <c r="AF32" s="51" t="n">
        <f aca="false">AF30+AF31</f>
        <v>0</v>
      </c>
      <c r="AG32" s="51" t="n">
        <f aca="false">AG30+AG31</f>
        <v>0</v>
      </c>
      <c r="AH32" s="51" t="n">
        <f aca="false">AH30+AH31</f>
        <v>0</v>
      </c>
      <c r="AI32" s="51" t="n">
        <f aca="false">AI30+AI31</f>
        <v>0</v>
      </c>
      <c r="AJ32" s="51" t="n">
        <f aca="false">AJ30+AJ31</f>
        <v>0</v>
      </c>
      <c r="AK32" s="51" t="n">
        <f aca="false">AK30+AK31</f>
        <v>0</v>
      </c>
      <c r="AL32" s="51" t="n">
        <f aca="false">AL30+AL31</f>
        <v>0</v>
      </c>
      <c r="AM32" s="52" t="n">
        <f aca="false">SUMIF($C$5:$AL$5,AM$5,$C32:$AL32)</f>
        <v>0</v>
      </c>
      <c r="AN32" s="52" t="n">
        <f aca="false">SUMIF($C$5:$AL$5,AN$5,$C32:$AL32)</f>
        <v>0</v>
      </c>
      <c r="AO32" s="52" t="n">
        <f aca="false">SUMIF($C$5:$AL$5,AO$5,$C32:$AL32)</f>
        <v>0</v>
      </c>
    </row>
    <row r="34" customFormat="false" ht="15" hidden="false" customHeight="false" outlineLevel="0" collapsed="false">
      <c r="A34" s="40" t="s">
        <v>344</v>
      </c>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row>
    <row r="35" customFormat="false" ht="15" hidden="false" customHeight="false" outlineLevel="0" collapsed="false">
      <c r="A35" s="10" t="s">
        <v>345</v>
      </c>
      <c r="B35" s="2"/>
      <c r="C35" s="31" t="n">
        <f aca="false">C21-IF(C5=1,(Assumptions!$C$50*Assumptions!$C$135+Assumptions!$C$51)*Assumptions!$C$52/12,0)</f>
        <v>1066.66666666667</v>
      </c>
      <c r="D35" s="31" t="n">
        <f aca="false">D21-IF(D5=1,(Assumptions!$C$50*Assumptions!$C$135+Assumptions!$C$51)*Assumptions!$C$52/12,0)</f>
        <v>1066.66666666667</v>
      </c>
      <c r="E35" s="31" t="n">
        <f aca="false">E21-IF(E5=1,(Assumptions!$C$50*Assumptions!$C$135+Assumptions!$C$51)*Assumptions!$C$52/12,0)</f>
        <v>1066.66666666667</v>
      </c>
      <c r="F35" s="31" t="n">
        <f aca="false">F21-IF(F5=1,(Assumptions!$C$50*Assumptions!$C$135+Assumptions!$C$51)*Assumptions!$C$52/12,0)</f>
        <v>1066.66666666667</v>
      </c>
      <c r="G35" s="31" t="n">
        <f aca="false">G21-IF(G5=1,(Assumptions!$C$50*Assumptions!$C$135+Assumptions!$C$51)*Assumptions!$C$52/12,0)</f>
        <v>1066.66666666667</v>
      </c>
      <c r="H35" s="31" t="n">
        <f aca="false">H21-IF(H5=1,(Assumptions!$C$50*Assumptions!$C$135+Assumptions!$C$51)*Assumptions!$C$52/12,0)</f>
        <v>1066.66666666667</v>
      </c>
      <c r="I35" s="31" t="n">
        <f aca="false">I21-IF(I5=1,(Assumptions!$C$50*Assumptions!$C$135+Assumptions!$C$51)*Assumptions!$C$52/12,0)</f>
        <v>1066.66666666667</v>
      </c>
      <c r="J35" s="31" t="n">
        <f aca="false">J21-IF(J5=1,(Assumptions!$C$50*Assumptions!$C$135+Assumptions!$C$51)*Assumptions!$C$52/12,0)</f>
        <v>1066.66666666667</v>
      </c>
      <c r="K35" s="31" t="n">
        <f aca="false">K21-IF(K5=1,(Assumptions!$C$50*Assumptions!$C$135+Assumptions!$C$51)*Assumptions!$C$52/12,0)</f>
        <v>1066.66666666667</v>
      </c>
      <c r="L35" s="31" t="n">
        <f aca="false">L21-IF(L5=1,(Assumptions!$C$50*Assumptions!$C$135+Assumptions!$C$51)*Assumptions!$C$52/12,0)</f>
        <v>1066.66666666667</v>
      </c>
      <c r="M35" s="31" t="n">
        <f aca="false">M21-IF(M5=1,(Assumptions!$C$50*Assumptions!$C$135+Assumptions!$C$51)*Assumptions!$C$52/12,0)</f>
        <v>1066.66666666667</v>
      </c>
      <c r="N35" s="31" t="n">
        <f aca="false">N21-IF(N5=1,(Assumptions!$C$50*Assumptions!$C$135+Assumptions!$C$51)*Assumptions!$C$52/12,0)</f>
        <v>1066.66666666667</v>
      </c>
      <c r="O35" s="31" t="n">
        <f aca="false">O21-IF(O5=1,(Assumptions!$C$50*Assumptions!$C$135+Assumptions!$C$51)*Assumptions!$C$52/12,0)</f>
        <v>1373.33333333333</v>
      </c>
      <c r="P35" s="31" t="n">
        <f aca="false">P21-IF(P5=1,(Assumptions!$C$50*Assumptions!$C$135+Assumptions!$C$51)*Assumptions!$C$52/12,0)</f>
        <v>1373.33333333333</v>
      </c>
      <c r="Q35" s="31" t="n">
        <f aca="false">Q21-IF(Q5=1,(Assumptions!$C$50*Assumptions!$C$135+Assumptions!$C$51)*Assumptions!$C$52/12,0)</f>
        <v>1373.33333333333</v>
      </c>
      <c r="R35" s="31" t="n">
        <f aca="false">R21-IF(R5=1,(Assumptions!$C$50*Assumptions!$C$135+Assumptions!$C$51)*Assumptions!$C$52/12,0)</f>
        <v>1373.33333333333</v>
      </c>
      <c r="S35" s="31" t="n">
        <f aca="false">S21-IF(S5=1,(Assumptions!$C$50*Assumptions!$C$135+Assumptions!$C$51)*Assumptions!$C$52/12,0)</f>
        <v>1373.33333333333</v>
      </c>
      <c r="T35" s="31" t="n">
        <f aca="false">T21-IF(T5=1,(Assumptions!$C$50*Assumptions!$C$135+Assumptions!$C$51)*Assumptions!$C$52/12,0)</f>
        <v>1373.33333333333</v>
      </c>
      <c r="U35" s="31" t="n">
        <f aca="false">U21-IF(U5=1,(Assumptions!$C$50*Assumptions!$C$135+Assumptions!$C$51)*Assumptions!$C$52/12,0)</f>
        <v>1373.33333333333</v>
      </c>
      <c r="V35" s="31" t="n">
        <f aca="false">V21-IF(V5=1,(Assumptions!$C$50*Assumptions!$C$135+Assumptions!$C$51)*Assumptions!$C$52/12,0)</f>
        <v>1373.33333333333</v>
      </c>
      <c r="W35" s="31" t="n">
        <f aca="false">W21-IF(W5=1,(Assumptions!$C$50*Assumptions!$C$135+Assumptions!$C$51)*Assumptions!$C$52/12,0)</f>
        <v>1373.33333333333</v>
      </c>
      <c r="X35" s="31" t="n">
        <f aca="false">X21-IF(X5=1,(Assumptions!$C$50*Assumptions!$C$135+Assumptions!$C$51)*Assumptions!$C$52/12,0)</f>
        <v>1373.33333333333</v>
      </c>
      <c r="Y35" s="31" t="n">
        <f aca="false">Y21-IF(Y5=1,(Assumptions!$C$50*Assumptions!$C$135+Assumptions!$C$51)*Assumptions!$C$52/12,0)</f>
        <v>1373.33333333333</v>
      </c>
      <c r="Z35" s="31" t="n">
        <f aca="false">Z21-IF(Z5=1,(Assumptions!$C$50*Assumptions!$C$135+Assumptions!$C$51)*Assumptions!$C$52/12,0)</f>
        <v>1373.33333333333</v>
      </c>
      <c r="AA35" s="31" t="n">
        <f aca="false">AA21-IF(AA5=1,(Assumptions!$C$50*Assumptions!$C$135+Assumptions!$C$51)*Assumptions!$C$52/12,0)</f>
        <v>1414.53333333333</v>
      </c>
      <c r="AB35" s="31" t="n">
        <f aca="false">AB21-IF(AB5=1,(Assumptions!$C$50*Assumptions!$C$135+Assumptions!$C$51)*Assumptions!$C$52/12,0)</f>
        <v>1414.53333333333</v>
      </c>
      <c r="AC35" s="31" t="n">
        <f aca="false">AC21-IF(AC5=1,(Assumptions!$C$50*Assumptions!$C$135+Assumptions!$C$51)*Assumptions!$C$52/12,0)</f>
        <v>1414.53333333333</v>
      </c>
      <c r="AD35" s="31" t="n">
        <f aca="false">AD21-IF(AD5=1,(Assumptions!$C$50*Assumptions!$C$135+Assumptions!$C$51)*Assumptions!$C$52/12,0)</f>
        <v>1414.53333333333</v>
      </c>
      <c r="AE35" s="31" t="n">
        <f aca="false">AE21-IF(AE5=1,(Assumptions!$C$50*Assumptions!$C$135+Assumptions!$C$51)*Assumptions!$C$52/12,0)</f>
        <v>1414.53333333333</v>
      </c>
      <c r="AF35" s="31" t="n">
        <f aca="false">AF21-IF(AF5=1,(Assumptions!$C$50*Assumptions!$C$135+Assumptions!$C$51)*Assumptions!$C$52/12,0)</f>
        <v>1414.53333333333</v>
      </c>
      <c r="AG35" s="31" t="n">
        <f aca="false">AG21-IF(AG5=1,(Assumptions!$C$50*Assumptions!$C$135+Assumptions!$C$51)*Assumptions!$C$52/12,0)</f>
        <v>1414.53333333333</v>
      </c>
      <c r="AH35" s="31" t="n">
        <f aca="false">AH21-IF(AH5=1,(Assumptions!$C$50*Assumptions!$C$135+Assumptions!$C$51)*Assumptions!$C$52/12,0)</f>
        <v>1414.53333333333</v>
      </c>
      <c r="AI35" s="31" t="n">
        <f aca="false">AI21-IF(AI5=1,(Assumptions!$C$50*Assumptions!$C$135+Assumptions!$C$51)*Assumptions!$C$52/12,0)</f>
        <v>1414.53333333333</v>
      </c>
      <c r="AJ35" s="31" t="n">
        <f aca="false">AJ21-IF(AJ5=1,(Assumptions!$C$50*Assumptions!$C$135+Assumptions!$C$51)*Assumptions!$C$52/12,0)</f>
        <v>1414.53333333333</v>
      </c>
      <c r="AK35" s="31" t="n">
        <f aca="false">AK21-IF(AK5=1,(Assumptions!$C$50*Assumptions!$C$135+Assumptions!$C$51)*Assumptions!$C$52/12,0)</f>
        <v>1414.53333333333</v>
      </c>
      <c r="AL35" s="31" t="n">
        <f aca="false">AL21-IF(AL5=1,(Assumptions!$C$50*Assumptions!$C$135+Assumptions!$C$51)*Assumptions!$C$52/12,0)</f>
        <v>1414.53333333333</v>
      </c>
      <c r="AM35" s="50" t="n">
        <f aca="false">SUMIF($C$5:$AL$5,AM$5,$C35:$AL35)</f>
        <v>12800</v>
      </c>
      <c r="AN35" s="50" t="n">
        <f aca="false">SUMIF($C$5:$AL$5,AN$5,$C35:$AL35)</f>
        <v>16480</v>
      </c>
      <c r="AO35" s="50" t="n">
        <f aca="false">SUMIF($C$5:$AL$5,AO$5,$C35:$AL35)</f>
        <v>16974.4</v>
      </c>
    </row>
    <row r="36" customFormat="false" ht="15" hidden="false" customHeight="false" outlineLevel="0" collapsed="false">
      <c r="A36" s="10" t="s">
        <v>346</v>
      </c>
      <c r="B36" s="2"/>
      <c r="C36" s="31" t="n">
        <f aca="false">IF(Assumptions!$C$79=1,IF(MOD(C4-1,12)=0,Compliance!$H$20,0),Compliance!$H$20/12)</f>
        <v>3005</v>
      </c>
      <c r="D36" s="31" t="n">
        <f aca="false">IF(Assumptions!$C$79=1,IF(MOD(D4-1,12)=0,Compliance!$H$20,0),Compliance!$H$20/12)</f>
        <v>0</v>
      </c>
      <c r="E36" s="31" t="n">
        <f aca="false">IF(Assumptions!$C$79=1,IF(MOD(E4-1,12)=0,Compliance!$H$20,0),Compliance!$H$20/12)</f>
        <v>0</v>
      </c>
      <c r="F36" s="31" t="n">
        <f aca="false">IF(Assumptions!$C$79=1,IF(MOD(F4-1,12)=0,Compliance!$H$20,0),Compliance!$H$20/12)</f>
        <v>0</v>
      </c>
      <c r="G36" s="31" t="n">
        <f aca="false">IF(Assumptions!$C$79=1,IF(MOD(G4-1,12)=0,Compliance!$H$20,0),Compliance!$H$20/12)</f>
        <v>0</v>
      </c>
      <c r="H36" s="31" t="n">
        <f aca="false">IF(Assumptions!$C$79=1,IF(MOD(H4-1,12)=0,Compliance!$H$20,0),Compliance!$H$20/12)</f>
        <v>0</v>
      </c>
      <c r="I36" s="31" t="n">
        <f aca="false">IF(Assumptions!$C$79=1,IF(MOD(I4-1,12)=0,Compliance!$H$20,0),Compliance!$H$20/12)</f>
        <v>0</v>
      </c>
      <c r="J36" s="31" t="n">
        <f aca="false">IF(Assumptions!$C$79=1,IF(MOD(J4-1,12)=0,Compliance!$H$20,0),Compliance!$H$20/12)</f>
        <v>0</v>
      </c>
      <c r="K36" s="31" t="n">
        <f aca="false">IF(Assumptions!$C$79=1,IF(MOD(K4-1,12)=0,Compliance!$H$20,0),Compliance!$H$20/12)</f>
        <v>0</v>
      </c>
      <c r="L36" s="31" t="n">
        <f aca="false">IF(Assumptions!$C$79=1,IF(MOD(L4-1,12)=0,Compliance!$H$20,0),Compliance!$H$20/12)</f>
        <v>0</v>
      </c>
      <c r="M36" s="31" t="n">
        <f aca="false">IF(Assumptions!$C$79=1,IF(MOD(M4-1,12)=0,Compliance!$H$20,0),Compliance!$H$20/12)</f>
        <v>0</v>
      </c>
      <c r="N36" s="31" t="n">
        <f aca="false">IF(Assumptions!$C$79=1,IF(MOD(N4-1,12)=0,Compliance!$H$20,0),Compliance!$H$20/12)</f>
        <v>0</v>
      </c>
      <c r="O36" s="31" t="n">
        <f aca="false">IF(Assumptions!$C$79=1,IF(MOD(O4-1,12)=0,Compliance!$H$20,0),Compliance!$H$20/12)</f>
        <v>3005</v>
      </c>
      <c r="P36" s="31" t="n">
        <f aca="false">IF(Assumptions!$C$79=1,IF(MOD(P4-1,12)=0,Compliance!$H$20,0),Compliance!$H$20/12)</f>
        <v>0</v>
      </c>
      <c r="Q36" s="31" t="n">
        <f aca="false">IF(Assumptions!$C$79=1,IF(MOD(Q4-1,12)=0,Compliance!$H$20,0),Compliance!$H$20/12)</f>
        <v>0</v>
      </c>
      <c r="R36" s="31" t="n">
        <f aca="false">IF(Assumptions!$C$79=1,IF(MOD(R4-1,12)=0,Compliance!$H$20,0),Compliance!$H$20/12)</f>
        <v>0</v>
      </c>
      <c r="S36" s="31" t="n">
        <f aca="false">IF(Assumptions!$C$79=1,IF(MOD(S4-1,12)=0,Compliance!$H$20,0),Compliance!$H$20/12)</f>
        <v>0</v>
      </c>
      <c r="T36" s="31" t="n">
        <f aca="false">IF(Assumptions!$C$79=1,IF(MOD(T4-1,12)=0,Compliance!$H$20,0),Compliance!$H$20/12)</f>
        <v>0</v>
      </c>
      <c r="U36" s="31" t="n">
        <f aca="false">IF(Assumptions!$C$79=1,IF(MOD(U4-1,12)=0,Compliance!$H$20,0),Compliance!$H$20/12)</f>
        <v>0</v>
      </c>
      <c r="V36" s="31" t="n">
        <f aca="false">IF(Assumptions!$C$79=1,IF(MOD(V4-1,12)=0,Compliance!$H$20,0),Compliance!$H$20/12)</f>
        <v>0</v>
      </c>
      <c r="W36" s="31" t="n">
        <f aca="false">IF(Assumptions!$C$79=1,IF(MOD(W4-1,12)=0,Compliance!$H$20,0),Compliance!$H$20/12)</f>
        <v>0</v>
      </c>
      <c r="X36" s="31" t="n">
        <f aca="false">IF(Assumptions!$C$79=1,IF(MOD(X4-1,12)=0,Compliance!$H$20,0),Compliance!$H$20/12)</f>
        <v>0</v>
      </c>
      <c r="Y36" s="31" t="n">
        <f aca="false">IF(Assumptions!$C$79=1,IF(MOD(Y4-1,12)=0,Compliance!$H$20,0),Compliance!$H$20/12)</f>
        <v>0</v>
      </c>
      <c r="Z36" s="31" t="n">
        <f aca="false">IF(Assumptions!$C$79=1,IF(MOD(Z4-1,12)=0,Compliance!$H$20,0),Compliance!$H$20/12)</f>
        <v>0</v>
      </c>
      <c r="AA36" s="31" t="n">
        <f aca="false">IF(Assumptions!$C$79=1,IF(MOD(AA4-1,12)=0,Compliance!$H$20,0),Compliance!$H$20/12)</f>
        <v>3005</v>
      </c>
      <c r="AB36" s="31" t="n">
        <f aca="false">IF(Assumptions!$C$79=1,IF(MOD(AB4-1,12)=0,Compliance!$H$20,0),Compliance!$H$20/12)</f>
        <v>0</v>
      </c>
      <c r="AC36" s="31" t="n">
        <f aca="false">IF(Assumptions!$C$79=1,IF(MOD(AC4-1,12)=0,Compliance!$H$20,0),Compliance!$H$20/12)</f>
        <v>0</v>
      </c>
      <c r="AD36" s="31" t="n">
        <f aca="false">IF(Assumptions!$C$79=1,IF(MOD(AD4-1,12)=0,Compliance!$H$20,0),Compliance!$H$20/12)</f>
        <v>0</v>
      </c>
      <c r="AE36" s="31" t="n">
        <f aca="false">IF(Assumptions!$C$79=1,IF(MOD(AE4-1,12)=0,Compliance!$H$20,0),Compliance!$H$20/12)</f>
        <v>0</v>
      </c>
      <c r="AF36" s="31" t="n">
        <f aca="false">IF(Assumptions!$C$79=1,IF(MOD(AF4-1,12)=0,Compliance!$H$20,0),Compliance!$H$20/12)</f>
        <v>0</v>
      </c>
      <c r="AG36" s="31" t="n">
        <f aca="false">IF(Assumptions!$C$79=1,IF(MOD(AG4-1,12)=0,Compliance!$H$20,0),Compliance!$H$20/12)</f>
        <v>0</v>
      </c>
      <c r="AH36" s="31" t="n">
        <f aca="false">IF(Assumptions!$C$79=1,IF(MOD(AH4-1,12)=0,Compliance!$H$20,0),Compliance!$H$20/12)</f>
        <v>0</v>
      </c>
      <c r="AI36" s="31" t="n">
        <f aca="false">IF(Assumptions!$C$79=1,IF(MOD(AI4-1,12)=0,Compliance!$H$20,0),Compliance!$H$20/12)</f>
        <v>0</v>
      </c>
      <c r="AJ36" s="31" t="n">
        <f aca="false">IF(Assumptions!$C$79=1,IF(MOD(AJ4-1,12)=0,Compliance!$H$20,0),Compliance!$H$20/12)</f>
        <v>0</v>
      </c>
      <c r="AK36" s="31" t="n">
        <f aca="false">IF(Assumptions!$C$79=1,IF(MOD(AK4-1,12)=0,Compliance!$H$20,0),Compliance!$H$20/12)</f>
        <v>0</v>
      </c>
      <c r="AL36" s="31" t="n">
        <f aca="false">IF(Assumptions!$C$79=1,IF(MOD(AL4-1,12)=0,Compliance!$H$20,0),Compliance!$H$20/12)</f>
        <v>0</v>
      </c>
      <c r="AM36" s="50" t="n">
        <f aca="false">SUMIF($C$5:$AL$5,AM$5,$C36:$AL36)</f>
        <v>3005</v>
      </c>
      <c r="AN36" s="50" t="n">
        <f aca="false">SUMIF($C$5:$AL$5,AN$5,$C36:$AL36)</f>
        <v>3005</v>
      </c>
      <c r="AO36" s="50" t="n">
        <f aca="false">SUMIF($C$5:$AL$5,AO$5,$C36:$AL36)</f>
        <v>3005</v>
      </c>
    </row>
    <row r="37" customFormat="false" ht="15" hidden="false" customHeight="false" outlineLevel="0" collapsed="false">
      <c r="A37" s="42" t="s">
        <v>347</v>
      </c>
      <c r="B37" s="43"/>
      <c r="C37" s="51" t="n">
        <f aca="false">(C21+C22)-(C35+C36)</f>
        <v>-2487.91666666667</v>
      </c>
      <c r="D37" s="51" t="n">
        <f aca="false">(D21+D22)-(D35+D36)</f>
        <v>517.083333333334</v>
      </c>
      <c r="E37" s="51" t="n">
        <f aca="false">(E21+E22)-(E35+E36)</f>
        <v>517.083333333334</v>
      </c>
      <c r="F37" s="51" t="n">
        <f aca="false">(F21+F22)-(F35+F36)</f>
        <v>517.083333333334</v>
      </c>
      <c r="G37" s="51" t="n">
        <f aca="false">(G21+G22)-(G35+G36)</f>
        <v>517.083333333334</v>
      </c>
      <c r="H37" s="51" t="n">
        <f aca="false">(H21+H22)-(H35+H36)</f>
        <v>517.083333333334</v>
      </c>
      <c r="I37" s="51" t="n">
        <f aca="false">(I21+I22)-(I35+I36)</f>
        <v>517.083333333334</v>
      </c>
      <c r="J37" s="51" t="n">
        <f aca="false">(J21+J22)-(J35+J36)</f>
        <v>517.083333333334</v>
      </c>
      <c r="K37" s="51" t="n">
        <f aca="false">(K21+K22)-(K35+K36)</f>
        <v>517.083333333334</v>
      </c>
      <c r="L37" s="51" t="n">
        <f aca="false">(L21+L22)-(L35+L36)</f>
        <v>517.083333333334</v>
      </c>
      <c r="M37" s="51" t="n">
        <f aca="false">(M21+M22)-(M35+M36)</f>
        <v>517.083333333334</v>
      </c>
      <c r="N37" s="51" t="n">
        <f aca="false">(N21+N22)-(N35+N36)</f>
        <v>517.083333333334</v>
      </c>
      <c r="O37" s="51" t="n">
        <f aca="false">(O21+O22)-(O35+O36)</f>
        <v>-2754.58333333333</v>
      </c>
      <c r="P37" s="51" t="n">
        <f aca="false">(P21+P22)-(P35+P36)</f>
        <v>250.416666666667</v>
      </c>
      <c r="Q37" s="51" t="n">
        <f aca="false">(Q21+Q22)-(Q35+Q36)</f>
        <v>250.416666666667</v>
      </c>
      <c r="R37" s="51" t="n">
        <f aca="false">(R21+R22)-(R35+R36)</f>
        <v>250.416666666667</v>
      </c>
      <c r="S37" s="51" t="n">
        <f aca="false">(S21+S22)-(S35+S36)</f>
        <v>250.416666666667</v>
      </c>
      <c r="T37" s="51" t="n">
        <f aca="false">(T21+T22)-(T35+T36)</f>
        <v>250.416666666667</v>
      </c>
      <c r="U37" s="51" t="n">
        <f aca="false">(U21+U22)-(U35+U36)</f>
        <v>250.416666666667</v>
      </c>
      <c r="V37" s="51" t="n">
        <f aca="false">(V21+V22)-(V35+V36)</f>
        <v>250.416666666667</v>
      </c>
      <c r="W37" s="51" t="n">
        <f aca="false">(W21+W22)-(W35+W36)</f>
        <v>250.416666666667</v>
      </c>
      <c r="X37" s="51" t="n">
        <f aca="false">(X21+X22)-(X35+X36)</f>
        <v>250.416666666667</v>
      </c>
      <c r="Y37" s="51" t="n">
        <f aca="false">(Y21+Y22)-(Y35+Y36)</f>
        <v>250.416666666667</v>
      </c>
      <c r="Z37" s="51" t="n">
        <f aca="false">(Z21+Z22)-(Z35+Z36)</f>
        <v>250.416666666667</v>
      </c>
      <c r="AA37" s="51" t="n">
        <f aca="false">(AA21+AA22)-(AA35+AA36)</f>
        <v>-2754.58333333333</v>
      </c>
      <c r="AB37" s="51" t="n">
        <f aca="false">(AB21+AB22)-(AB35+AB36)</f>
        <v>250.416666666667</v>
      </c>
      <c r="AC37" s="51" t="n">
        <f aca="false">(AC21+AC22)-(AC35+AC36)</f>
        <v>250.416666666667</v>
      </c>
      <c r="AD37" s="51" t="n">
        <f aca="false">(AD21+AD22)-(AD35+AD36)</f>
        <v>250.416666666667</v>
      </c>
      <c r="AE37" s="51" t="n">
        <f aca="false">(AE21+AE22)-(AE35+AE36)</f>
        <v>250.416666666667</v>
      </c>
      <c r="AF37" s="51" t="n">
        <f aca="false">(AF21+AF22)-(AF35+AF36)</f>
        <v>250.416666666667</v>
      </c>
      <c r="AG37" s="51" t="n">
        <f aca="false">(AG21+AG22)-(AG35+AG36)</f>
        <v>250.416666666667</v>
      </c>
      <c r="AH37" s="51" t="n">
        <f aca="false">(AH21+AH22)-(AH35+AH36)</f>
        <v>250.416666666667</v>
      </c>
      <c r="AI37" s="51" t="n">
        <f aca="false">(AI21+AI22)-(AI35+AI36)</f>
        <v>250.416666666667</v>
      </c>
      <c r="AJ37" s="51" t="n">
        <f aca="false">(AJ21+AJ22)-(AJ35+AJ36)</f>
        <v>250.416666666667</v>
      </c>
      <c r="AK37" s="51" t="n">
        <f aca="false">(AK21+AK22)-(AK35+AK36)</f>
        <v>250.416666666667</v>
      </c>
      <c r="AL37" s="51" t="n">
        <f aca="false">(AL21+AL22)-(AL35+AL36)</f>
        <v>250.416666666667</v>
      </c>
      <c r="AM37" s="52" t="n">
        <f aca="false">SUMIF($C$5:$AL$5,AM$5,$C37:$AL37)</f>
        <v>3200</v>
      </c>
      <c r="AN37" s="52" t="n">
        <f aca="false">SUMIF($C$5:$AL$5,AN$5,$C37:$AL37)</f>
        <v>1.13686837721616E-012</v>
      </c>
      <c r="AO37" s="52" t="n">
        <f aca="false">SUMIF($C$5:$AL$5,AO$5,$C37:$AL37)</f>
        <v>1.13686837721616E-012</v>
      </c>
    </row>
  </sheetData>
  <printOptions headings="false" gridLines="false" gridLinesSet="true" horizontalCentered="false" verticalCentered="false"/>
  <pageMargins left="0.75" right="0.75" top="1" bottom="1" header="0.511811023622047" footer="0.511811023622047"/>
  <pageSetup paperSize="1" scale="100" fitToWidth="0"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40"/>
    <col collapsed="false" customWidth="true" hidden="false" outlineLevel="0" max="3" min="3" style="0" width="62"/>
    <col collapsed="false" customWidth="true" hidden="false" outlineLevel="0" max="6" min="4" style="0" width="10"/>
    <col collapsed="false" customWidth="true" hidden="false" outlineLevel="0" max="8" min="7" style="0" width="13"/>
    <col collapsed="false" customWidth="true" hidden="false" outlineLevel="0" max="9" min="9" style="0" width="60"/>
  </cols>
  <sheetData>
    <row r="1" customFormat="false" ht="17.35" hidden="false" customHeight="false" outlineLevel="0" collapsed="false">
      <c r="B1" s="1" t="s">
        <v>348</v>
      </c>
    </row>
    <row r="2" customFormat="false" ht="15" hidden="false" customHeight="false" outlineLevel="0" collapsed="false">
      <c r="B2" s="2" t="s">
        <v>349</v>
      </c>
    </row>
    <row r="4" customFormat="false" ht="30" hidden="false" customHeight="true" outlineLevel="0" collapsed="false">
      <c r="B4" s="53" t="s">
        <v>350</v>
      </c>
      <c r="C4" s="53" t="s">
        <v>351</v>
      </c>
      <c r="D4" s="53" t="s">
        <v>352</v>
      </c>
      <c r="E4" s="53" t="s">
        <v>353</v>
      </c>
      <c r="F4" s="53" t="s">
        <v>354</v>
      </c>
      <c r="G4" s="53" t="s">
        <v>355</v>
      </c>
      <c r="H4" s="53" t="s">
        <v>356</v>
      </c>
      <c r="I4" s="53" t="s">
        <v>357</v>
      </c>
    </row>
    <row r="5" customFormat="false" ht="42" hidden="false" customHeight="true" outlineLevel="0" collapsed="false">
      <c r="B5" s="5" t="s">
        <v>358</v>
      </c>
      <c r="C5" s="8" t="s">
        <v>359</v>
      </c>
      <c r="D5" s="54" t="n">
        <f aca="false">IF(AND(Assumptions!$C$10=1,Assumptions!$C$138=1),1,0)</f>
        <v>1</v>
      </c>
      <c r="E5" s="55" t="str">
        <f aca="false">Assumptions!$C$60</f>
        <v>auto</v>
      </c>
      <c r="F5" s="56" t="n">
        <f aca="false">IF(E5="Y",1,IF(E5="N",0,D5))</f>
        <v>1</v>
      </c>
      <c r="G5" s="57" t="n">
        <f aca="false">F5*Assumptions!$C$61</f>
        <v>0</v>
      </c>
      <c r="H5" s="57"/>
      <c r="I5" s="58" t="s">
        <v>360</v>
      </c>
    </row>
    <row r="6" customFormat="false" ht="42" hidden="false" customHeight="true" outlineLevel="0" collapsed="false">
      <c r="B6" s="5" t="s">
        <v>361</v>
      </c>
      <c r="C6" s="8" t="s">
        <v>362</v>
      </c>
      <c r="D6" s="54" t="n">
        <f aca="false">IF(AND(Assumptions!$C$10=1,Assumptions!$C$135=1),1,0)</f>
        <v>1</v>
      </c>
      <c r="E6" s="55" t="str">
        <f aca="false">Assumptions!$C$62</f>
        <v>auto</v>
      </c>
      <c r="F6" s="56" t="n">
        <f aca="false">IF(E6="Y",1,IF(E6="N",0,D6))</f>
        <v>1</v>
      </c>
      <c r="G6" s="57" t="n">
        <f aca="false">F6*Assumptions!$C$63</f>
        <v>300</v>
      </c>
      <c r="H6" s="57"/>
      <c r="I6" s="58" t="s">
        <v>363</v>
      </c>
    </row>
    <row r="7" customFormat="false" ht="42" hidden="false" customHeight="true" outlineLevel="0" collapsed="false">
      <c r="B7" s="5" t="s">
        <v>364</v>
      </c>
      <c r="C7" s="8" t="s">
        <v>365</v>
      </c>
      <c r="D7" s="54" t="n">
        <f aca="false">IF(AND(Assumptions!$C$10=1,Assumptions!$C$135=1),1,0)</f>
        <v>1</v>
      </c>
      <c r="E7" s="55" t="str">
        <f aca="false">Assumptions!$C$64</f>
        <v>auto</v>
      </c>
      <c r="F7" s="56" t="n">
        <f aca="false">IF(E7="Y",1,IF(E7="N",0,D7))</f>
        <v>1</v>
      </c>
      <c r="G7" s="57" t="n">
        <f aca="false">F7*Assumptions!$C$65</f>
        <v>50</v>
      </c>
      <c r="H7" s="57"/>
      <c r="I7" s="58" t="s">
        <v>366</v>
      </c>
    </row>
    <row r="8" customFormat="false" ht="42" hidden="false" customHeight="true" outlineLevel="0" collapsed="false">
      <c r="B8" s="5" t="s">
        <v>367</v>
      </c>
      <c r="C8" s="8" t="s">
        <v>368</v>
      </c>
      <c r="D8" s="54" t="n">
        <f aca="false">IF(AND(Assumptions!$C$10=1,Assumptions!$C$135=1),1,0)</f>
        <v>1</v>
      </c>
      <c r="F8" s="56" t="n">
        <f aca="false">D8</f>
        <v>1</v>
      </c>
      <c r="G8" s="59" t="n">
        <f aca="false">Assumptions!$C$141</f>
        <v>750000</v>
      </c>
      <c r="I8" s="58" t="s">
        <v>369</v>
      </c>
    </row>
    <row r="9" customFormat="false" ht="42" hidden="false" customHeight="true" outlineLevel="0" collapsed="false">
      <c r="B9" s="5" t="s">
        <v>370</v>
      </c>
      <c r="C9" s="8" t="s">
        <v>371</v>
      </c>
      <c r="D9" s="54" t="n">
        <f aca="false">IF(AND(Assumptions!$C$10=1,Assumptions!$C$135=1),1,0)</f>
        <v>1</v>
      </c>
      <c r="E9" s="55" t="str">
        <f aca="false">Assumptions!$C$66</f>
        <v>auto</v>
      </c>
      <c r="F9" s="56" t="n">
        <f aca="false">IF(E9="Y",1,IF(E9="N",0,D9))</f>
        <v>1</v>
      </c>
      <c r="G9" s="57"/>
      <c r="H9" s="57" t="n">
        <f aca="false">F9*Assumptions!$C$67</f>
        <v>55</v>
      </c>
      <c r="I9" s="58" t="s">
        <v>372</v>
      </c>
    </row>
    <row r="10" customFormat="false" ht="42" hidden="false" customHeight="true" outlineLevel="0" collapsed="false">
      <c r="B10" s="5" t="s">
        <v>373</v>
      </c>
      <c r="C10" s="8" t="s">
        <v>374</v>
      </c>
      <c r="D10" s="60" t="s">
        <v>375</v>
      </c>
      <c r="E10" s="55" t="str">
        <f aca="false">Assumptions!$C$68</f>
        <v>Y</v>
      </c>
      <c r="F10" s="56" t="n">
        <f aca="false">IF(E10="Y",1,0)</f>
        <v>1</v>
      </c>
      <c r="G10" s="57"/>
      <c r="H10" s="57" t="n">
        <f aca="false">F10*Assumptions!$C$69</f>
        <v>2000</v>
      </c>
      <c r="I10" s="58" t="s">
        <v>376</v>
      </c>
    </row>
    <row r="11" customFormat="false" ht="42" hidden="false" customHeight="true" outlineLevel="0" collapsed="false">
      <c r="B11" s="5" t="s">
        <v>377</v>
      </c>
      <c r="C11" s="8" t="s">
        <v>378</v>
      </c>
      <c r="D11" s="60" t="s">
        <v>375</v>
      </c>
      <c r="E11" s="55" t="str">
        <f aca="false">Assumptions!$C$70</f>
        <v>Y</v>
      </c>
      <c r="F11" s="56" t="n">
        <f aca="false">IF(E11="Y",1,0)</f>
        <v>1</v>
      </c>
      <c r="G11" s="57"/>
      <c r="H11" s="57" t="n">
        <f aca="false">F11*Assumptions!$C$71</f>
        <v>50</v>
      </c>
      <c r="I11" s="58" t="s">
        <v>379</v>
      </c>
    </row>
    <row r="12" customFormat="false" ht="42" hidden="false" customHeight="true" outlineLevel="0" collapsed="false">
      <c r="B12" s="5" t="s">
        <v>380</v>
      </c>
      <c r="C12" s="8" t="s">
        <v>381</v>
      </c>
      <c r="D12" s="54" t="n">
        <f aca="false">IF(Assumptions!$C$17&gt;=55000,1,0)</f>
        <v>1</v>
      </c>
      <c r="E12" s="55" t="str">
        <f aca="false">Assumptions!$C$72</f>
        <v>auto</v>
      </c>
      <c r="F12" s="56" t="n">
        <f aca="false">IF(E12="Y",1,IF(E12="N",0,D12))</f>
        <v>1</v>
      </c>
      <c r="G12" s="57"/>
      <c r="H12" s="57" t="n">
        <f aca="false">F12*Assumptions!$C$140</f>
        <v>550</v>
      </c>
      <c r="I12" s="58" t="s">
        <v>382</v>
      </c>
    </row>
    <row r="13" customFormat="false" ht="42" hidden="false" customHeight="true" outlineLevel="0" collapsed="false">
      <c r="B13" s="5" t="s">
        <v>383</v>
      </c>
      <c r="C13" s="8" t="s">
        <v>384</v>
      </c>
      <c r="D13" s="54" t="n">
        <f aca="false">IF(Assumptions!$C$139=1,1,0)</f>
        <v>1</v>
      </c>
      <c r="E13" s="55" t="str">
        <f aca="false">Assumptions!$C$73</f>
        <v>auto</v>
      </c>
      <c r="F13" s="56" t="n">
        <f aca="false">IF(E13="Y",1,IF(E13="N",0,D13))</f>
        <v>1</v>
      </c>
      <c r="G13" s="57" t="n">
        <f aca="false">F13*Assumptions!$C$74</f>
        <v>100</v>
      </c>
      <c r="H13" s="57" t="n">
        <f aca="false">F13*Assumptions!$C$75</f>
        <v>250</v>
      </c>
      <c r="I13" s="58" t="s">
        <v>385</v>
      </c>
    </row>
    <row r="14" customFormat="false" ht="42" hidden="false" customHeight="true" outlineLevel="0" collapsed="false">
      <c r="B14" s="5" t="s">
        <v>386</v>
      </c>
      <c r="C14" s="8" t="s">
        <v>387</v>
      </c>
      <c r="D14" s="54" t="n">
        <f aca="false">Assumptions!$C$139</f>
        <v>1</v>
      </c>
      <c r="F14" s="56" t="n">
        <f aca="false">D14</f>
        <v>1</v>
      </c>
      <c r="G14" s="57"/>
      <c r="H14" s="57"/>
      <c r="I14" s="58" t="s">
        <v>388</v>
      </c>
    </row>
    <row r="15" customFormat="false" ht="42" hidden="false" customHeight="true" outlineLevel="0" collapsed="false">
      <c r="B15" s="5" t="s">
        <v>389</v>
      </c>
      <c r="C15" s="8" t="s">
        <v>390</v>
      </c>
      <c r="D15" s="54" t="n">
        <f aca="false">IF(AND(Assumptions!$C$10=1,Assumptions!$C$138=1),1,0)</f>
        <v>1</v>
      </c>
      <c r="E15" s="55" t="str">
        <f aca="false">Assumptions!$C$76</f>
        <v>auto</v>
      </c>
      <c r="F15" s="56" t="n">
        <f aca="false">IF(E15="Y",1,IF(E15="N",0,D15))</f>
        <v>1</v>
      </c>
      <c r="G15" s="57"/>
      <c r="H15" s="57" t="n">
        <f aca="false">F15*Assumptions!$C$77</f>
        <v>100</v>
      </c>
      <c r="I15" s="58" t="s">
        <v>391</v>
      </c>
    </row>
    <row r="16" customFormat="false" ht="42" hidden="false" customHeight="true" outlineLevel="0" collapsed="false">
      <c r="B16" s="5" t="s">
        <v>392</v>
      </c>
      <c r="C16" s="8" t="s">
        <v>393</v>
      </c>
      <c r="D16" s="54" t="n">
        <f aca="false">IF(AND(Assumptions!$C$10=1,Assumptions!$C$138=1),1,0)</f>
        <v>1</v>
      </c>
      <c r="E16" s="55" t="str">
        <f aca="false">Assumptions!$C$78</f>
        <v>auto</v>
      </c>
      <c r="F16" s="56" t="n">
        <f aca="false">IF(E16="Y",1,IF(E16="N",0,D16))</f>
        <v>1</v>
      </c>
      <c r="G16" s="57" t="n">
        <f aca="false">F16*Assumptions!$C$103</f>
        <v>150</v>
      </c>
      <c r="H16" s="57"/>
      <c r="I16" s="58" t="s">
        <v>394</v>
      </c>
    </row>
    <row r="17" customFormat="false" ht="42" hidden="false" customHeight="true" outlineLevel="0" collapsed="false">
      <c r="B17" s="5" t="s">
        <v>395</v>
      </c>
      <c r="C17" s="8" t="s">
        <v>396</v>
      </c>
      <c r="D17" s="54" t="n">
        <f aca="false">IF(AND(Assumptions!$C$10=1,Assumptions!$C$138=1),1,0)</f>
        <v>1</v>
      </c>
      <c r="F17" s="56" t="n">
        <f aca="false">D17</f>
        <v>1</v>
      </c>
      <c r="G17" s="57"/>
      <c r="H17" s="57"/>
      <c r="I17" s="58" t="s">
        <v>397</v>
      </c>
    </row>
    <row r="18" customFormat="false" ht="42" hidden="false" customHeight="true" outlineLevel="0" collapsed="false">
      <c r="B18" s="5" t="s">
        <v>398</v>
      </c>
      <c r="C18" s="8" t="s">
        <v>399</v>
      </c>
      <c r="D18" s="60" t="s">
        <v>375</v>
      </c>
      <c r="G18" s="61" t="str">
        <f aca="false">Assumptions!$C$144</f>
        <v>OK: within 11 hours</v>
      </c>
      <c r="I18" s="58" t="s">
        <v>400</v>
      </c>
    </row>
    <row r="19" customFormat="false" ht="42" hidden="false" customHeight="true" outlineLevel="0" collapsed="false">
      <c r="B19" s="5" t="s">
        <v>141</v>
      </c>
      <c r="C19" s="8" t="s">
        <v>401</v>
      </c>
      <c r="D19" s="60" t="s">
        <v>375</v>
      </c>
      <c r="G19" s="57"/>
      <c r="H19" s="57"/>
      <c r="I19" s="58" t="s">
        <v>402</v>
      </c>
    </row>
    <row r="20" customFormat="false" ht="15" hidden="false" customHeight="false" outlineLevel="0" collapsed="false">
      <c r="B20" s="62" t="s">
        <v>403</v>
      </c>
      <c r="C20" s="63"/>
      <c r="D20" s="63"/>
      <c r="E20" s="63"/>
      <c r="F20" s="63"/>
      <c r="G20" s="52" t="n">
        <f aca="false">SUM(G5,G6,G7,G9,G10,G11,G12,G13,G14,G15,G16,G17)</f>
        <v>600</v>
      </c>
      <c r="H20" s="52" t="n">
        <f aca="false">SUM(H5,H6,H7,H9,H10,H11,H12,H13,H14,H15,H16,H17)</f>
        <v>3005</v>
      </c>
    </row>
    <row r="22" customFormat="false" ht="15" hidden="false" customHeight="false" outlineLevel="0" collapsed="false">
      <c r="B22" s="2" t="s">
        <v>404</v>
      </c>
    </row>
    <row r="23" customFormat="false" ht="15" hidden="false" customHeight="false" outlineLevel="0" collapsed="false">
      <c r="B23" s="2" t="s">
        <v>405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O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2" min="2" style="0" width="9"/>
    <col collapsed="false" customWidth="true" hidden="false" outlineLevel="0" max="38" min="3" style="0" width="11"/>
    <col collapsed="false" customWidth="true" hidden="false" outlineLevel="0" max="41" min="39" style="0" width="13"/>
  </cols>
  <sheetData>
    <row r="1" customFormat="false" ht="17.35" hidden="false" customHeight="false" outlineLevel="0" collapsed="false">
      <c r="A1" s="1" t="s">
        <v>406</v>
      </c>
    </row>
    <row r="2" customFormat="false" ht="15" hidden="false" customHeight="false" outlineLevel="0" collapsed="false">
      <c r="A2" s="2" t="s">
        <v>407</v>
      </c>
    </row>
    <row r="4" customFormat="false" ht="15" hidden="false" customHeight="false" outlineLevel="0" collapsed="false">
      <c r="A4" s="3" t="s">
        <v>303</v>
      </c>
      <c r="C4" s="35" t="n">
        <v>1</v>
      </c>
      <c r="D4" s="35" t="n">
        <v>2</v>
      </c>
      <c r="E4" s="35" t="n">
        <v>3</v>
      </c>
      <c r="F4" s="35" t="n">
        <v>4</v>
      </c>
      <c r="G4" s="35" t="n">
        <v>5</v>
      </c>
      <c r="H4" s="35" t="n">
        <v>6</v>
      </c>
      <c r="I4" s="35" t="n">
        <v>7</v>
      </c>
      <c r="J4" s="35" t="n">
        <v>8</v>
      </c>
      <c r="K4" s="35" t="n">
        <v>9</v>
      </c>
      <c r="L4" s="35" t="n">
        <v>10</v>
      </c>
      <c r="M4" s="35" t="n">
        <v>11</v>
      </c>
      <c r="N4" s="35" t="n">
        <v>12</v>
      </c>
      <c r="O4" s="35" t="n">
        <v>13</v>
      </c>
      <c r="P4" s="35" t="n">
        <v>14</v>
      </c>
      <c r="Q4" s="35" t="n">
        <v>15</v>
      </c>
      <c r="R4" s="35" t="n">
        <v>16</v>
      </c>
      <c r="S4" s="35" t="n">
        <v>17</v>
      </c>
      <c r="T4" s="35" t="n">
        <v>18</v>
      </c>
      <c r="U4" s="35" t="n">
        <v>19</v>
      </c>
      <c r="V4" s="35" t="n">
        <v>20</v>
      </c>
      <c r="W4" s="35" t="n">
        <v>21</v>
      </c>
      <c r="X4" s="35" t="n">
        <v>22</v>
      </c>
      <c r="Y4" s="35" t="n">
        <v>23</v>
      </c>
      <c r="Z4" s="35" t="n">
        <v>24</v>
      </c>
      <c r="AA4" s="35" t="n">
        <v>25</v>
      </c>
      <c r="AB4" s="35" t="n">
        <v>26</v>
      </c>
      <c r="AC4" s="35" t="n">
        <v>27</v>
      </c>
      <c r="AD4" s="35" t="n">
        <v>28</v>
      </c>
      <c r="AE4" s="35" t="n">
        <v>29</v>
      </c>
      <c r="AF4" s="35" t="n">
        <v>30</v>
      </c>
      <c r="AG4" s="35" t="n">
        <v>31</v>
      </c>
      <c r="AH4" s="35" t="n">
        <v>32</v>
      </c>
      <c r="AI4" s="35" t="n">
        <v>33</v>
      </c>
      <c r="AJ4" s="35" t="n">
        <v>34</v>
      </c>
      <c r="AK4" s="35" t="n">
        <v>35</v>
      </c>
      <c r="AL4" s="35" t="n">
        <v>36</v>
      </c>
      <c r="AM4" s="36" t="s">
        <v>304</v>
      </c>
      <c r="AN4" s="36" t="s">
        <v>304</v>
      </c>
      <c r="AO4" s="36" t="s">
        <v>304</v>
      </c>
    </row>
    <row r="5" customFormat="false" ht="15" hidden="false" customHeight="false" outlineLevel="0" collapsed="false">
      <c r="A5" s="3" t="s">
        <v>305</v>
      </c>
      <c r="C5" s="37" t="n">
        <f aca="false">INT((C4-1)/12)+1</f>
        <v>1</v>
      </c>
      <c r="D5" s="37" t="n">
        <f aca="false">INT((D4-1)/12)+1</f>
        <v>1</v>
      </c>
      <c r="E5" s="37" t="n">
        <f aca="false">INT((E4-1)/12)+1</f>
        <v>1</v>
      </c>
      <c r="F5" s="37" t="n">
        <f aca="false">INT((F4-1)/12)+1</f>
        <v>1</v>
      </c>
      <c r="G5" s="37" t="n">
        <f aca="false">INT((G4-1)/12)+1</f>
        <v>1</v>
      </c>
      <c r="H5" s="37" t="n">
        <f aca="false">INT((H4-1)/12)+1</f>
        <v>1</v>
      </c>
      <c r="I5" s="37" t="n">
        <f aca="false">INT((I4-1)/12)+1</f>
        <v>1</v>
      </c>
      <c r="J5" s="37" t="n">
        <f aca="false">INT((J4-1)/12)+1</f>
        <v>1</v>
      </c>
      <c r="K5" s="37" t="n">
        <f aca="false">INT((K4-1)/12)+1</f>
        <v>1</v>
      </c>
      <c r="L5" s="37" t="n">
        <f aca="false">INT((L4-1)/12)+1</f>
        <v>1</v>
      </c>
      <c r="M5" s="37" t="n">
        <f aca="false">INT((M4-1)/12)+1</f>
        <v>1</v>
      </c>
      <c r="N5" s="37" t="n">
        <f aca="false">INT((N4-1)/12)+1</f>
        <v>1</v>
      </c>
      <c r="O5" s="37" t="n">
        <f aca="false">INT((O4-1)/12)+1</f>
        <v>2</v>
      </c>
      <c r="P5" s="37" t="n">
        <f aca="false">INT((P4-1)/12)+1</f>
        <v>2</v>
      </c>
      <c r="Q5" s="37" t="n">
        <f aca="false">INT((Q4-1)/12)+1</f>
        <v>2</v>
      </c>
      <c r="R5" s="37" t="n">
        <f aca="false">INT((R4-1)/12)+1</f>
        <v>2</v>
      </c>
      <c r="S5" s="37" t="n">
        <f aca="false">INT((S4-1)/12)+1</f>
        <v>2</v>
      </c>
      <c r="T5" s="37" t="n">
        <f aca="false">INT((T4-1)/12)+1</f>
        <v>2</v>
      </c>
      <c r="U5" s="37" t="n">
        <f aca="false">INT((U4-1)/12)+1</f>
        <v>2</v>
      </c>
      <c r="V5" s="37" t="n">
        <f aca="false">INT((V4-1)/12)+1</f>
        <v>2</v>
      </c>
      <c r="W5" s="37" t="n">
        <f aca="false">INT((W4-1)/12)+1</f>
        <v>2</v>
      </c>
      <c r="X5" s="37" t="n">
        <f aca="false">INT((X4-1)/12)+1</f>
        <v>2</v>
      </c>
      <c r="Y5" s="37" t="n">
        <f aca="false">INT((Y4-1)/12)+1</f>
        <v>2</v>
      </c>
      <c r="Z5" s="37" t="n">
        <f aca="false">INT((Z4-1)/12)+1</f>
        <v>2</v>
      </c>
      <c r="AA5" s="37" t="n">
        <f aca="false">INT((AA4-1)/12)+1</f>
        <v>3</v>
      </c>
      <c r="AB5" s="37" t="n">
        <f aca="false">INT((AB4-1)/12)+1</f>
        <v>3</v>
      </c>
      <c r="AC5" s="37" t="n">
        <f aca="false">INT((AC4-1)/12)+1</f>
        <v>3</v>
      </c>
      <c r="AD5" s="37" t="n">
        <f aca="false">INT((AD4-1)/12)+1</f>
        <v>3</v>
      </c>
      <c r="AE5" s="37" t="n">
        <f aca="false">INT((AE4-1)/12)+1</f>
        <v>3</v>
      </c>
      <c r="AF5" s="37" t="n">
        <f aca="false">INT((AF4-1)/12)+1</f>
        <v>3</v>
      </c>
      <c r="AG5" s="37" t="n">
        <f aca="false">INT((AG4-1)/12)+1</f>
        <v>3</v>
      </c>
      <c r="AH5" s="37" t="n">
        <f aca="false">INT((AH4-1)/12)+1</f>
        <v>3</v>
      </c>
      <c r="AI5" s="37" t="n">
        <f aca="false">INT((AI4-1)/12)+1</f>
        <v>3</v>
      </c>
      <c r="AJ5" s="37" t="n">
        <f aca="false">INT((AJ4-1)/12)+1</f>
        <v>3</v>
      </c>
      <c r="AK5" s="37" t="n">
        <f aca="false">INT((AK4-1)/12)+1</f>
        <v>3</v>
      </c>
      <c r="AL5" s="37" t="n">
        <f aca="false">INT((AL4-1)/12)+1</f>
        <v>3</v>
      </c>
      <c r="AM5" s="35" t="n">
        <v>1</v>
      </c>
      <c r="AN5" s="35" t="n">
        <v>2</v>
      </c>
      <c r="AO5" s="35" t="n">
        <v>3</v>
      </c>
    </row>
    <row r="6" customFormat="false" ht="15" hidden="false" customHeight="false" outlineLevel="0" collapsed="false">
      <c r="A6" s="6" t="s">
        <v>306</v>
      </c>
      <c r="B6" s="6" t="s">
        <v>71</v>
      </c>
      <c r="C6" s="38" t="n">
        <f aca="false">EDATE(Assumptions!$C$7,C4-1)</f>
        <v>46388</v>
      </c>
      <c r="D6" s="38" t="n">
        <f aca="false">EDATE(Assumptions!$C$7,D4-1)</f>
        <v>46419</v>
      </c>
      <c r="E6" s="38" t="n">
        <f aca="false">EDATE(Assumptions!$C$7,E4-1)</f>
        <v>46447</v>
      </c>
      <c r="F6" s="38" t="n">
        <f aca="false">EDATE(Assumptions!$C$7,F4-1)</f>
        <v>46478</v>
      </c>
      <c r="G6" s="38" t="n">
        <f aca="false">EDATE(Assumptions!$C$7,G4-1)</f>
        <v>46508</v>
      </c>
      <c r="H6" s="38" t="n">
        <f aca="false">EDATE(Assumptions!$C$7,H4-1)</f>
        <v>46539</v>
      </c>
      <c r="I6" s="38" t="n">
        <f aca="false">EDATE(Assumptions!$C$7,I4-1)</f>
        <v>46569</v>
      </c>
      <c r="J6" s="38" t="n">
        <f aca="false">EDATE(Assumptions!$C$7,J4-1)</f>
        <v>46600</v>
      </c>
      <c r="K6" s="38" t="n">
        <f aca="false">EDATE(Assumptions!$C$7,K4-1)</f>
        <v>46631</v>
      </c>
      <c r="L6" s="38" t="n">
        <f aca="false">EDATE(Assumptions!$C$7,L4-1)</f>
        <v>46661</v>
      </c>
      <c r="M6" s="38" t="n">
        <f aca="false">EDATE(Assumptions!$C$7,M4-1)</f>
        <v>46692</v>
      </c>
      <c r="N6" s="38" t="n">
        <f aca="false">EDATE(Assumptions!$C$7,N4-1)</f>
        <v>46722</v>
      </c>
      <c r="O6" s="38" t="n">
        <f aca="false">EDATE(Assumptions!$C$7,O4-1)</f>
        <v>46753</v>
      </c>
      <c r="P6" s="38" t="n">
        <f aca="false">EDATE(Assumptions!$C$7,P4-1)</f>
        <v>46784</v>
      </c>
      <c r="Q6" s="38" t="n">
        <f aca="false">EDATE(Assumptions!$C$7,Q4-1)</f>
        <v>46813</v>
      </c>
      <c r="R6" s="38" t="n">
        <f aca="false">EDATE(Assumptions!$C$7,R4-1)</f>
        <v>46844</v>
      </c>
      <c r="S6" s="38" t="n">
        <f aca="false">EDATE(Assumptions!$C$7,S4-1)</f>
        <v>46874</v>
      </c>
      <c r="T6" s="38" t="n">
        <f aca="false">EDATE(Assumptions!$C$7,T4-1)</f>
        <v>46905</v>
      </c>
      <c r="U6" s="38" t="n">
        <f aca="false">EDATE(Assumptions!$C$7,U4-1)</f>
        <v>46935</v>
      </c>
      <c r="V6" s="38" t="n">
        <f aca="false">EDATE(Assumptions!$C$7,V4-1)</f>
        <v>46966</v>
      </c>
      <c r="W6" s="38" t="n">
        <f aca="false">EDATE(Assumptions!$C$7,W4-1)</f>
        <v>46997</v>
      </c>
      <c r="X6" s="38" t="n">
        <f aca="false">EDATE(Assumptions!$C$7,X4-1)</f>
        <v>47027</v>
      </c>
      <c r="Y6" s="38" t="n">
        <f aca="false">EDATE(Assumptions!$C$7,Y4-1)</f>
        <v>47058</v>
      </c>
      <c r="Z6" s="38" t="n">
        <f aca="false">EDATE(Assumptions!$C$7,Z4-1)</f>
        <v>47088</v>
      </c>
      <c r="AA6" s="38" t="n">
        <f aca="false">EDATE(Assumptions!$C$7,AA4-1)</f>
        <v>47119</v>
      </c>
      <c r="AB6" s="38" t="n">
        <f aca="false">EDATE(Assumptions!$C$7,AB4-1)</f>
        <v>47150</v>
      </c>
      <c r="AC6" s="38" t="n">
        <f aca="false">EDATE(Assumptions!$C$7,AC4-1)</f>
        <v>47178</v>
      </c>
      <c r="AD6" s="38" t="n">
        <f aca="false">EDATE(Assumptions!$C$7,AD4-1)</f>
        <v>47209</v>
      </c>
      <c r="AE6" s="38" t="n">
        <f aca="false">EDATE(Assumptions!$C$7,AE4-1)</f>
        <v>47239</v>
      </c>
      <c r="AF6" s="38" t="n">
        <f aca="false">EDATE(Assumptions!$C$7,AF4-1)</f>
        <v>47270</v>
      </c>
      <c r="AG6" s="38" t="n">
        <f aca="false">EDATE(Assumptions!$C$7,AG4-1)</f>
        <v>47300</v>
      </c>
      <c r="AH6" s="38" t="n">
        <f aca="false">EDATE(Assumptions!$C$7,AH4-1)</f>
        <v>47331</v>
      </c>
      <c r="AI6" s="38" t="n">
        <f aca="false">EDATE(Assumptions!$C$7,AI4-1)</f>
        <v>47362</v>
      </c>
      <c r="AJ6" s="38" t="n">
        <f aca="false">EDATE(Assumptions!$C$7,AJ4-1)</f>
        <v>47392</v>
      </c>
      <c r="AK6" s="38" t="n">
        <f aca="false">EDATE(Assumptions!$C$7,AK4-1)</f>
        <v>47423</v>
      </c>
      <c r="AL6" s="38" t="n">
        <f aca="false">EDATE(Assumptions!$C$7,AL4-1)</f>
        <v>47453</v>
      </c>
      <c r="AM6" s="39" t="s">
        <v>307</v>
      </c>
      <c r="AN6" s="39" t="s">
        <v>308</v>
      </c>
      <c r="AO6" s="39" t="s">
        <v>309</v>
      </c>
    </row>
    <row r="7" customFormat="false" ht="15" hidden="false" customHeight="false" outlineLevel="0" collapsed="false">
      <c r="A7" s="10" t="s">
        <v>326</v>
      </c>
      <c r="B7" s="2"/>
      <c r="C7" s="47" t="n">
        <f aca="false">(1+Assumptions!$C$47)^(C5-1)</f>
        <v>1</v>
      </c>
      <c r="D7" s="47" t="n">
        <f aca="false">(1+Assumptions!$C$47)^(D5-1)</f>
        <v>1</v>
      </c>
      <c r="E7" s="47" t="n">
        <f aca="false">(1+Assumptions!$C$47)^(E5-1)</f>
        <v>1</v>
      </c>
      <c r="F7" s="47" t="n">
        <f aca="false">(1+Assumptions!$C$47)^(F5-1)</f>
        <v>1</v>
      </c>
      <c r="G7" s="47" t="n">
        <f aca="false">(1+Assumptions!$C$47)^(G5-1)</f>
        <v>1</v>
      </c>
      <c r="H7" s="47" t="n">
        <f aca="false">(1+Assumptions!$C$47)^(H5-1)</f>
        <v>1</v>
      </c>
      <c r="I7" s="47" t="n">
        <f aca="false">(1+Assumptions!$C$47)^(I5-1)</f>
        <v>1</v>
      </c>
      <c r="J7" s="47" t="n">
        <f aca="false">(1+Assumptions!$C$47)^(J5-1)</f>
        <v>1</v>
      </c>
      <c r="K7" s="47" t="n">
        <f aca="false">(1+Assumptions!$C$47)^(K5-1)</f>
        <v>1</v>
      </c>
      <c r="L7" s="47" t="n">
        <f aca="false">(1+Assumptions!$C$47)^(L5-1)</f>
        <v>1</v>
      </c>
      <c r="M7" s="47" t="n">
        <f aca="false">(1+Assumptions!$C$47)^(M5-1)</f>
        <v>1</v>
      </c>
      <c r="N7" s="47" t="n">
        <f aca="false">(1+Assumptions!$C$47)^(N5-1)</f>
        <v>1</v>
      </c>
      <c r="O7" s="47" t="n">
        <f aca="false">(1+Assumptions!$C$47)^(O5-1)</f>
        <v>1.03</v>
      </c>
      <c r="P7" s="47" t="n">
        <f aca="false">(1+Assumptions!$C$47)^(P5-1)</f>
        <v>1.03</v>
      </c>
      <c r="Q7" s="47" t="n">
        <f aca="false">(1+Assumptions!$C$47)^(Q5-1)</f>
        <v>1.03</v>
      </c>
      <c r="R7" s="47" t="n">
        <f aca="false">(1+Assumptions!$C$47)^(R5-1)</f>
        <v>1.03</v>
      </c>
      <c r="S7" s="47" t="n">
        <f aca="false">(1+Assumptions!$C$47)^(S5-1)</f>
        <v>1.03</v>
      </c>
      <c r="T7" s="47" t="n">
        <f aca="false">(1+Assumptions!$C$47)^(T5-1)</f>
        <v>1.03</v>
      </c>
      <c r="U7" s="47" t="n">
        <f aca="false">(1+Assumptions!$C$47)^(U5-1)</f>
        <v>1.03</v>
      </c>
      <c r="V7" s="47" t="n">
        <f aca="false">(1+Assumptions!$C$47)^(V5-1)</f>
        <v>1.03</v>
      </c>
      <c r="W7" s="47" t="n">
        <f aca="false">(1+Assumptions!$C$47)^(W5-1)</f>
        <v>1.03</v>
      </c>
      <c r="X7" s="47" t="n">
        <f aca="false">(1+Assumptions!$C$47)^(X5-1)</f>
        <v>1.03</v>
      </c>
      <c r="Y7" s="47" t="n">
        <f aca="false">(1+Assumptions!$C$47)^(Y5-1)</f>
        <v>1.03</v>
      </c>
      <c r="Z7" s="47" t="n">
        <f aca="false">(1+Assumptions!$C$47)^(Z5-1)</f>
        <v>1.03</v>
      </c>
      <c r="AA7" s="47" t="n">
        <f aca="false">(1+Assumptions!$C$47)^(AA5-1)</f>
        <v>1.0609</v>
      </c>
      <c r="AB7" s="47" t="n">
        <f aca="false">(1+Assumptions!$C$47)^(AB5-1)</f>
        <v>1.0609</v>
      </c>
      <c r="AC7" s="47" t="n">
        <f aca="false">(1+Assumptions!$C$47)^(AC5-1)</f>
        <v>1.0609</v>
      </c>
      <c r="AD7" s="47" t="n">
        <f aca="false">(1+Assumptions!$C$47)^(AD5-1)</f>
        <v>1.0609</v>
      </c>
      <c r="AE7" s="47" t="n">
        <f aca="false">(1+Assumptions!$C$47)^(AE5-1)</f>
        <v>1.0609</v>
      </c>
      <c r="AF7" s="47" t="n">
        <f aca="false">(1+Assumptions!$C$47)^(AF5-1)</f>
        <v>1.0609</v>
      </c>
      <c r="AG7" s="47" t="n">
        <f aca="false">(1+Assumptions!$C$47)^(AG5-1)</f>
        <v>1.0609</v>
      </c>
      <c r="AH7" s="47" t="n">
        <f aca="false">(1+Assumptions!$C$47)^(AH5-1)</f>
        <v>1.0609</v>
      </c>
      <c r="AI7" s="47" t="n">
        <f aca="false">(1+Assumptions!$C$47)^(AI5-1)</f>
        <v>1.0609</v>
      </c>
      <c r="AJ7" s="47" t="n">
        <f aca="false">(1+Assumptions!$C$47)^(AJ5-1)</f>
        <v>1.0609</v>
      </c>
      <c r="AK7" s="47" t="n">
        <f aca="false">(1+Assumptions!$C$47)^(AK5-1)</f>
        <v>1.0609</v>
      </c>
      <c r="AL7" s="47" t="n">
        <f aca="false">(1+Assumptions!$C$47)^(AL5-1)</f>
        <v>1.0609</v>
      </c>
    </row>
    <row r="8" customFormat="false" ht="15" hidden="false" customHeight="false" outlineLevel="0" collapsed="false">
      <c r="A8" s="10" t="s">
        <v>408</v>
      </c>
      <c r="B8" s="2"/>
      <c r="C8" s="31" t="n">
        <f aca="false">Assumptions!$C$95*Assumptions!$C$96*Revenue!C9*C7</f>
        <v>0</v>
      </c>
      <c r="D8" s="31" t="n">
        <f aca="false">Assumptions!$C$95*Assumptions!$C$96*Revenue!D9*D7</f>
        <v>0</v>
      </c>
      <c r="E8" s="31" t="n">
        <f aca="false">Assumptions!$C$95*Assumptions!$C$96*Revenue!E9*E7</f>
        <v>0</v>
      </c>
      <c r="F8" s="31" t="n">
        <f aca="false">Assumptions!$C$95*Assumptions!$C$96*Revenue!F9*F7</f>
        <v>0</v>
      </c>
      <c r="G8" s="31" t="n">
        <f aca="false">Assumptions!$C$95*Assumptions!$C$96*Revenue!G9*G7</f>
        <v>0</v>
      </c>
      <c r="H8" s="31" t="n">
        <f aca="false">Assumptions!$C$95*Assumptions!$C$96*Revenue!H9*H7</f>
        <v>0</v>
      </c>
      <c r="I8" s="31" t="n">
        <f aca="false">Assumptions!$C$95*Assumptions!$C$96*Revenue!I9*I7</f>
        <v>0</v>
      </c>
      <c r="J8" s="31" t="n">
        <f aca="false">Assumptions!$C$95*Assumptions!$C$96*Revenue!J9*J7</f>
        <v>0</v>
      </c>
      <c r="K8" s="31" t="n">
        <f aca="false">Assumptions!$C$95*Assumptions!$C$96*Revenue!K9*K7</f>
        <v>0</v>
      </c>
      <c r="L8" s="31" t="n">
        <f aca="false">Assumptions!$C$95*Assumptions!$C$96*Revenue!L9*L7</f>
        <v>0</v>
      </c>
      <c r="M8" s="31" t="n">
        <f aca="false">Assumptions!$C$95*Assumptions!$C$96*Revenue!M9*M7</f>
        <v>0</v>
      </c>
      <c r="N8" s="31" t="n">
        <f aca="false">Assumptions!$C$95*Assumptions!$C$96*Revenue!N9*N7</f>
        <v>0</v>
      </c>
      <c r="O8" s="31" t="n">
        <f aca="false">Assumptions!$C$95*Assumptions!$C$96*Revenue!O9*O7</f>
        <v>0</v>
      </c>
      <c r="P8" s="31" t="n">
        <f aca="false">Assumptions!$C$95*Assumptions!$C$96*Revenue!P9*P7</f>
        <v>0</v>
      </c>
      <c r="Q8" s="31" t="n">
        <f aca="false">Assumptions!$C$95*Assumptions!$C$96*Revenue!Q9*Q7</f>
        <v>0</v>
      </c>
      <c r="R8" s="31" t="n">
        <f aca="false">Assumptions!$C$95*Assumptions!$C$96*Revenue!R9*R7</f>
        <v>0</v>
      </c>
      <c r="S8" s="31" t="n">
        <f aca="false">Assumptions!$C$95*Assumptions!$C$96*Revenue!S9*S7</f>
        <v>0</v>
      </c>
      <c r="T8" s="31" t="n">
        <f aca="false">Assumptions!$C$95*Assumptions!$C$96*Revenue!T9*T7</f>
        <v>0</v>
      </c>
      <c r="U8" s="31" t="n">
        <f aca="false">Assumptions!$C$95*Assumptions!$C$96*Revenue!U9*U7</f>
        <v>0</v>
      </c>
      <c r="V8" s="31" t="n">
        <f aca="false">Assumptions!$C$95*Assumptions!$C$96*Revenue!V9*V7</f>
        <v>0</v>
      </c>
      <c r="W8" s="31" t="n">
        <f aca="false">Assumptions!$C$95*Assumptions!$C$96*Revenue!W9*W7</f>
        <v>0</v>
      </c>
      <c r="X8" s="31" t="n">
        <f aca="false">Assumptions!$C$95*Assumptions!$C$96*Revenue!X9*X7</f>
        <v>0</v>
      </c>
      <c r="Y8" s="31" t="n">
        <f aca="false">Assumptions!$C$95*Assumptions!$C$96*Revenue!Y9*Y7</f>
        <v>0</v>
      </c>
      <c r="Z8" s="31" t="n">
        <f aca="false">Assumptions!$C$95*Assumptions!$C$96*Revenue!Z9*Z7</f>
        <v>0</v>
      </c>
      <c r="AA8" s="31" t="n">
        <f aca="false">Assumptions!$C$95*Assumptions!$C$96*Revenue!AA9*AA7</f>
        <v>0</v>
      </c>
      <c r="AB8" s="31" t="n">
        <f aca="false">Assumptions!$C$95*Assumptions!$C$96*Revenue!AB9*AB7</f>
        <v>0</v>
      </c>
      <c r="AC8" s="31" t="n">
        <f aca="false">Assumptions!$C$95*Assumptions!$C$96*Revenue!AC9*AC7</f>
        <v>0</v>
      </c>
      <c r="AD8" s="31" t="n">
        <f aca="false">Assumptions!$C$95*Assumptions!$C$96*Revenue!AD9*AD7</f>
        <v>0</v>
      </c>
      <c r="AE8" s="31" t="n">
        <f aca="false">Assumptions!$C$95*Assumptions!$C$96*Revenue!AE9*AE7</f>
        <v>0</v>
      </c>
      <c r="AF8" s="31" t="n">
        <f aca="false">Assumptions!$C$95*Assumptions!$C$96*Revenue!AF9*AF7</f>
        <v>0</v>
      </c>
      <c r="AG8" s="31" t="n">
        <f aca="false">Assumptions!$C$95*Assumptions!$C$96*Revenue!AG9*AG7</f>
        <v>0</v>
      </c>
      <c r="AH8" s="31" t="n">
        <f aca="false">Assumptions!$C$95*Assumptions!$C$96*Revenue!AH9*AH7</f>
        <v>0</v>
      </c>
      <c r="AI8" s="31" t="n">
        <f aca="false">Assumptions!$C$95*Assumptions!$C$96*Revenue!AI9*AI7</f>
        <v>0</v>
      </c>
      <c r="AJ8" s="31" t="n">
        <f aca="false">Assumptions!$C$95*Assumptions!$C$96*Revenue!AJ9*AJ7</f>
        <v>0</v>
      </c>
      <c r="AK8" s="31" t="n">
        <f aca="false">Assumptions!$C$95*Assumptions!$C$96*Revenue!AK9*AK7</f>
        <v>0</v>
      </c>
      <c r="AL8" s="31" t="n">
        <f aca="false">Assumptions!$C$95*Assumptions!$C$96*Revenue!AL9*AL7</f>
        <v>0</v>
      </c>
      <c r="AM8" s="50" t="n">
        <f aca="false">SUMIF($C$5:$AL$5,AM$5,$C8:$AL8)</f>
        <v>0</v>
      </c>
      <c r="AN8" s="50" t="n">
        <f aca="false">SUMIF($C$5:$AL$5,AN$5,$C8:$AL8)</f>
        <v>0</v>
      </c>
      <c r="AO8" s="50" t="n">
        <f aca="false">SUMIF($C$5:$AL$5,AO$5,$C8:$AL8)</f>
        <v>0</v>
      </c>
    </row>
    <row r="9" customFormat="false" ht="15" hidden="false" customHeight="false" outlineLevel="0" collapsed="false">
      <c r="A9" s="10" t="s">
        <v>409</v>
      </c>
      <c r="B9" s="2"/>
      <c r="C9" s="31" t="n">
        <f aca="false">C8*Assumptions!$C$97</f>
        <v>0</v>
      </c>
      <c r="D9" s="31" t="n">
        <f aca="false">D8*Assumptions!$C$97</f>
        <v>0</v>
      </c>
      <c r="E9" s="31" t="n">
        <f aca="false">E8*Assumptions!$C$97</f>
        <v>0</v>
      </c>
      <c r="F9" s="31" t="n">
        <f aca="false">F8*Assumptions!$C$97</f>
        <v>0</v>
      </c>
      <c r="G9" s="31" t="n">
        <f aca="false">G8*Assumptions!$C$97</f>
        <v>0</v>
      </c>
      <c r="H9" s="31" t="n">
        <f aca="false">H8*Assumptions!$C$97</f>
        <v>0</v>
      </c>
      <c r="I9" s="31" t="n">
        <f aca="false">I8*Assumptions!$C$97</f>
        <v>0</v>
      </c>
      <c r="J9" s="31" t="n">
        <f aca="false">J8*Assumptions!$C$97</f>
        <v>0</v>
      </c>
      <c r="K9" s="31" t="n">
        <f aca="false">K8*Assumptions!$C$97</f>
        <v>0</v>
      </c>
      <c r="L9" s="31" t="n">
        <f aca="false">L8*Assumptions!$C$97</f>
        <v>0</v>
      </c>
      <c r="M9" s="31" t="n">
        <f aca="false">M8*Assumptions!$C$97</f>
        <v>0</v>
      </c>
      <c r="N9" s="31" t="n">
        <f aca="false">N8*Assumptions!$C$97</f>
        <v>0</v>
      </c>
      <c r="O9" s="31" t="n">
        <f aca="false">O8*Assumptions!$C$97</f>
        <v>0</v>
      </c>
      <c r="P9" s="31" t="n">
        <f aca="false">P8*Assumptions!$C$97</f>
        <v>0</v>
      </c>
      <c r="Q9" s="31" t="n">
        <f aca="false">Q8*Assumptions!$C$97</f>
        <v>0</v>
      </c>
      <c r="R9" s="31" t="n">
        <f aca="false">R8*Assumptions!$C$97</f>
        <v>0</v>
      </c>
      <c r="S9" s="31" t="n">
        <f aca="false">S8*Assumptions!$C$97</f>
        <v>0</v>
      </c>
      <c r="T9" s="31" t="n">
        <f aca="false">T8*Assumptions!$C$97</f>
        <v>0</v>
      </c>
      <c r="U9" s="31" t="n">
        <f aca="false">U8*Assumptions!$C$97</f>
        <v>0</v>
      </c>
      <c r="V9" s="31" t="n">
        <f aca="false">V8*Assumptions!$C$97</f>
        <v>0</v>
      </c>
      <c r="W9" s="31" t="n">
        <f aca="false">W8*Assumptions!$C$97</f>
        <v>0</v>
      </c>
      <c r="X9" s="31" t="n">
        <f aca="false">X8*Assumptions!$C$97</f>
        <v>0</v>
      </c>
      <c r="Y9" s="31" t="n">
        <f aca="false">Y8*Assumptions!$C$97</f>
        <v>0</v>
      </c>
      <c r="Z9" s="31" t="n">
        <f aca="false">Z8*Assumptions!$C$97</f>
        <v>0</v>
      </c>
      <c r="AA9" s="31" t="n">
        <f aca="false">AA8*Assumptions!$C$97</f>
        <v>0</v>
      </c>
      <c r="AB9" s="31" t="n">
        <f aca="false">AB8*Assumptions!$C$97</f>
        <v>0</v>
      </c>
      <c r="AC9" s="31" t="n">
        <f aca="false">AC8*Assumptions!$C$97</f>
        <v>0</v>
      </c>
      <c r="AD9" s="31" t="n">
        <f aca="false">AD8*Assumptions!$C$97</f>
        <v>0</v>
      </c>
      <c r="AE9" s="31" t="n">
        <f aca="false">AE8*Assumptions!$C$97</f>
        <v>0</v>
      </c>
      <c r="AF9" s="31" t="n">
        <f aca="false">AF8*Assumptions!$C$97</f>
        <v>0</v>
      </c>
      <c r="AG9" s="31" t="n">
        <f aca="false">AG8*Assumptions!$C$97</f>
        <v>0</v>
      </c>
      <c r="AH9" s="31" t="n">
        <f aca="false">AH8*Assumptions!$C$97</f>
        <v>0</v>
      </c>
      <c r="AI9" s="31" t="n">
        <f aca="false">AI8*Assumptions!$C$97</f>
        <v>0</v>
      </c>
      <c r="AJ9" s="31" t="n">
        <f aca="false">AJ8*Assumptions!$C$97</f>
        <v>0</v>
      </c>
      <c r="AK9" s="31" t="n">
        <f aca="false">AK8*Assumptions!$C$97</f>
        <v>0</v>
      </c>
      <c r="AL9" s="31" t="n">
        <f aca="false">AL8*Assumptions!$C$97</f>
        <v>0</v>
      </c>
      <c r="AM9" s="50" t="n">
        <f aca="false">SUMIF($C$5:$AL$5,AM$5,$C9:$AL9)</f>
        <v>0</v>
      </c>
      <c r="AN9" s="50" t="n">
        <f aca="false">SUMIF($C$5:$AL$5,AN$5,$C9:$AL9)</f>
        <v>0</v>
      </c>
      <c r="AO9" s="50" t="n">
        <f aca="false">SUMIF($C$5:$AL$5,AO$5,$C9:$AL9)</f>
        <v>0</v>
      </c>
    </row>
    <row r="10" customFormat="false" ht="15" hidden="false" customHeight="false" outlineLevel="0" collapsed="false">
      <c r="A10" s="10" t="s">
        <v>410</v>
      </c>
      <c r="B10" s="2"/>
      <c r="C10" s="31" t="n">
        <f aca="false">C8*Assumptions!$C$98</f>
        <v>0</v>
      </c>
      <c r="D10" s="31" t="n">
        <f aca="false">D8*Assumptions!$C$98</f>
        <v>0</v>
      </c>
      <c r="E10" s="31" t="n">
        <f aca="false">E8*Assumptions!$C$98</f>
        <v>0</v>
      </c>
      <c r="F10" s="31" t="n">
        <f aca="false">F8*Assumptions!$C$98</f>
        <v>0</v>
      </c>
      <c r="G10" s="31" t="n">
        <f aca="false">G8*Assumptions!$C$98</f>
        <v>0</v>
      </c>
      <c r="H10" s="31" t="n">
        <f aca="false">H8*Assumptions!$C$98</f>
        <v>0</v>
      </c>
      <c r="I10" s="31" t="n">
        <f aca="false">I8*Assumptions!$C$98</f>
        <v>0</v>
      </c>
      <c r="J10" s="31" t="n">
        <f aca="false">J8*Assumptions!$C$98</f>
        <v>0</v>
      </c>
      <c r="K10" s="31" t="n">
        <f aca="false">K8*Assumptions!$C$98</f>
        <v>0</v>
      </c>
      <c r="L10" s="31" t="n">
        <f aca="false">L8*Assumptions!$C$98</f>
        <v>0</v>
      </c>
      <c r="M10" s="31" t="n">
        <f aca="false">M8*Assumptions!$C$98</f>
        <v>0</v>
      </c>
      <c r="N10" s="31" t="n">
        <f aca="false">N8*Assumptions!$C$98</f>
        <v>0</v>
      </c>
      <c r="O10" s="31" t="n">
        <f aca="false">O8*Assumptions!$C$98</f>
        <v>0</v>
      </c>
      <c r="P10" s="31" t="n">
        <f aca="false">P8*Assumptions!$C$98</f>
        <v>0</v>
      </c>
      <c r="Q10" s="31" t="n">
        <f aca="false">Q8*Assumptions!$C$98</f>
        <v>0</v>
      </c>
      <c r="R10" s="31" t="n">
        <f aca="false">R8*Assumptions!$C$98</f>
        <v>0</v>
      </c>
      <c r="S10" s="31" t="n">
        <f aca="false">S8*Assumptions!$C$98</f>
        <v>0</v>
      </c>
      <c r="T10" s="31" t="n">
        <f aca="false">T8*Assumptions!$C$98</f>
        <v>0</v>
      </c>
      <c r="U10" s="31" t="n">
        <f aca="false">U8*Assumptions!$C$98</f>
        <v>0</v>
      </c>
      <c r="V10" s="31" t="n">
        <f aca="false">V8*Assumptions!$C$98</f>
        <v>0</v>
      </c>
      <c r="W10" s="31" t="n">
        <f aca="false">W8*Assumptions!$C$98</f>
        <v>0</v>
      </c>
      <c r="X10" s="31" t="n">
        <f aca="false">X8*Assumptions!$C$98</f>
        <v>0</v>
      </c>
      <c r="Y10" s="31" t="n">
        <f aca="false">Y8*Assumptions!$C$98</f>
        <v>0</v>
      </c>
      <c r="Z10" s="31" t="n">
        <f aca="false">Z8*Assumptions!$C$98</f>
        <v>0</v>
      </c>
      <c r="AA10" s="31" t="n">
        <f aca="false">AA8*Assumptions!$C$98</f>
        <v>0</v>
      </c>
      <c r="AB10" s="31" t="n">
        <f aca="false">AB8*Assumptions!$C$98</f>
        <v>0</v>
      </c>
      <c r="AC10" s="31" t="n">
        <f aca="false">AC8*Assumptions!$C$98</f>
        <v>0</v>
      </c>
      <c r="AD10" s="31" t="n">
        <f aca="false">AD8*Assumptions!$C$98</f>
        <v>0</v>
      </c>
      <c r="AE10" s="31" t="n">
        <f aca="false">AE8*Assumptions!$C$98</f>
        <v>0</v>
      </c>
      <c r="AF10" s="31" t="n">
        <f aca="false">AF8*Assumptions!$C$98</f>
        <v>0</v>
      </c>
      <c r="AG10" s="31" t="n">
        <f aca="false">AG8*Assumptions!$C$98</f>
        <v>0</v>
      </c>
      <c r="AH10" s="31" t="n">
        <f aca="false">AH8*Assumptions!$C$98</f>
        <v>0</v>
      </c>
      <c r="AI10" s="31" t="n">
        <f aca="false">AI8*Assumptions!$C$98</f>
        <v>0</v>
      </c>
      <c r="AJ10" s="31" t="n">
        <f aca="false">AJ8*Assumptions!$C$98</f>
        <v>0</v>
      </c>
      <c r="AK10" s="31" t="n">
        <f aca="false">AK8*Assumptions!$C$98</f>
        <v>0</v>
      </c>
      <c r="AL10" s="31" t="n">
        <f aca="false">AL8*Assumptions!$C$98</f>
        <v>0</v>
      </c>
      <c r="AM10" s="50" t="n">
        <f aca="false">SUMIF($C$5:$AL$5,AM$5,$C10:$AL10)</f>
        <v>0</v>
      </c>
      <c r="AN10" s="50" t="n">
        <f aca="false">SUMIF($C$5:$AL$5,AN$5,$C10:$AL10)</f>
        <v>0</v>
      </c>
      <c r="AO10" s="50" t="n">
        <f aca="false">SUMIF($C$5:$AL$5,AO$5,$C10:$AL10)</f>
        <v>0</v>
      </c>
    </row>
    <row r="11" customFormat="false" ht="15" hidden="false" customHeight="false" outlineLevel="0" collapsed="false">
      <c r="A11" s="42" t="s">
        <v>411</v>
      </c>
      <c r="B11" s="43"/>
      <c r="C11" s="51" t="n">
        <f aca="false">SUM(C8:C10)</f>
        <v>0</v>
      </c>
      <c r="D11" s="51" t="n">
        <f aca="false">SUM(D8:D10)</f>
        <v>0</v>
      </c>
      <c r="E11" s="51" t="n">
        <f aca="false">SUM(E8:E10)</f>
        <v>0</v>
      </c>
      <c r="F11" s="51" t="n">
        <f aca="false">SUM(F8:F10)</f>
        <v>0</v>
      </c>
      <c r="G11" s="51" t="n">
        <f aca="false">SUM(G8:G10)</f>
        <v>0</v>
      </c>
      <c r="H11" s="51" t="n">
        <f aca="false">SUM(H8:H10)</f>
        <v>0</v>
      </c>
      <c r="I11" s="51" t="n">
        <f aca="false">SUM(I8:I10)</f>
        <v>0</v>
      </c>
      <c r="J11" s="51" t="n">
        <f aca="false">SUM(J8:J10)</f>
        <v>0</v>
      </c>
      <c r="K11" s="51" t="n">
        <f aca="false">SUM(K8:K10)</f>
        <v>0</v>
      </c>
      <c r="L11" s="51" t="n">
        <f aca="false">SUM(L8:L10)</f>
        <v>0</v>
      </c>
      <c r="M11" s="51" t="n">
        <f aca="false">SUM(M8:M10)</f>
        <v>0</v>
      </c>
      <c r="N11" s="51" t="n">
        <f aca="false">SUM(N8:N10)</f>
        <v>0</v>
      </c>
      <c r="O11" s="51" t="n">
        <f aca="false">SUM(O8:O10)</f>
        <v>0</v>
      </c>
      <c r="P11" s="51" t="n">
        <f aca="false">SUM(P8:P10)</f>
        <v>0</v>
      </c>
      <c r="Q11" s="51" t="n">
        <f aca="false">SUM(Q8:Q10)</f>
        <v>0</v>
      </c>
      <c r="R11" s="51" t="n">
        <f aca="false">SUM(R8:R10)</f>
        <v>0</v>
      </c>
      <c r="S11" s="51" t="n">
        <f aca="false">SUM(S8:S10)</f>
        <v>0</v>
      </c>
      <c r="T11" s="51" t="n">
        <f aca="false">SUM(T8:T10)</f>
        <v>0</v>
      </c>
      <c r="U11" s="51" t="n">
        <f aca="false">SUM(U8:U10)</f>
        <v>0</v>
      </c>
      <c r="V11" s="51" t="n">
        <f aca="false">SUM(V8:V10)</f>
        <v>0</v>
      </c>
      <c r="W11" s="51" t="n">
        <f aca="false">SUM(W8:W10)</f>
        <v>0</v>
      </c>
      <c r="X11" s="51" t="n">
        <f aca="false">SUM(X8:X10)</f>
        <v>0</v>
      </c>
      <c r="Y11" s="51" t="n">
        <f aca="false">SUM(Y8:Y10)</f>
        <v>0</v>
      </c>
      <c r="Z11" s="51" t="n">
        <f aca="false">SUM(Z8:Z10)</f>
        <v>0</v>
      </c>
      <c r="AA11" s="51" t="n">
        <f aca="false">SUM(AA8:AA10)</f>
        <v>0</v>
      </c>
      <c r="AB11" s="51" t="n">
        <f aca="false">SUM(AB8:AB10)</f>
        <v>0</v>
      </c>
      <c r="AC11" s="51" t="n">
        <f aca="false">SUM(AC8:AC10)</f>
        <v>0</v>
      </c>
      <c r="AD11" s="51" t="n">
        <f aca="false">SUM(AD8:AD10)</f>
        <v>0</v>
      </c>
      <c r="AE11" s="51" t="n">
        <f aca="false">SUM(AE8:AE10)</f>
        <v>0</v>
      </c>
      <c r="AF11" s="51" t="n">
        <f aca="false">SUM(AF8:AF10)</f>
        <v>0</v>
      </c>
      <c r="AG11" s="51" t="n">
        <f aca="false">SUM(AG8:AG10)</f>
        <v>0</v>
      </c>
      <c r="AH11" s="51" t="n">
        <f aca="false">SUM(AH8:AH10)</f>
        <v>0</v>
      </c>
      <c r="AI11" s="51" t="n">
        <f aca="false">SUM(AI8:AI10)</f>
        <v>0</v>
      </c>
      <c r="AJ11" s="51" t="n">
        <f aca="false">SUM(AJ8:AJ10)</f>
        <v>0</v>
      </c>
      <c r="AK11" s="51" t="n">
        <f aca="false">SUM(AK8:AK10)</f>
        <v>0</v>
      </c>
      <c r="AL11" s="51" t="n">
        <f aca="false">SUM(AL8:AL10)</f>
        <v>0</v>
      </c>
      <c r="AM11" s="52" t="n">
        <f aca="false">SUMIF($C$5:$AL$5,AM$5,$C11:$AL11)</f>
        <v>0</v>
      </c>
      <c r="AN11" s="52" t="n">
        <f aca="false">SUMIF($C$5:$AL$5,AN$5,$C11:$AL11)</f>
        <v>0</v>
      </c>
      <c r="AO11" s="52" t="n">
        <f aca="false">SUMIF($C$5:$AL$5,AO$5,$C11:$AL11)</f>
        <v>0</v>
      </c>
    </row>
    <row r="13" customFormat="false" ht="15" hidden="false" customHeight="false" outlineLevel="0" collapsed="false">
      <c r="A13" s="10" t="s">
        <v>412</v>
      </c>
      <c r="B13" s="2"/>
      <c r="C13" s="31" t="n">
        <f aca="false">Assumptions!$C$99</f>
        <v>4500</v>
      </c>
      <c r="D13" s="31" t="n">
        <f aca="false">Assumptions!$C$99</f>
        <v>4500</v>
      </c>
      <c r="E13" s="31" t="n">
        <f aca="false">Assumptions!$C$99</f>
        <v>4500</v>
      </c>
      <c r="F13" s="31" t="n">
        <f aca="false">Assumptions!$C$99</f>
        <v>4500</v>
      </c>
      <c r="G13" s="31" t="n">
        <f aca="false">Assumptions!$C$99</f>
        <v>4500</v>
      </c>
      <c r="H13" s="31" t="n">
        <f aca="false">Assumptions!$C$99</f>
        <v>4500</v>
      </c>
      <c r="I13" s="31" t="n">
        <f aca="false">Assumptions!$C$99</f>
        <v>4500</v>
      </c>
      <c r="J13" s="31" t="n">
        <f aca="false">Assumptions!$C$99</f>
        <v>4500</v>
      </c>
      <c r="K13" s="31" t="n">
        <f aca="false">Assumptions!$C$99</f>
        <v>4500</v>
      </c>
      <c r="L13" s="31" t="n">
        <f aca="false">Assumptions!$C$99</f>
        <v>4500</v>
      </c>
      <c r="M13" s="31" t="n">
        <f aca="false">Assumptions!$C$99</f>
        <v>4500</v>
      </c>
      <c r="N13" s="31" t="n">
        <f aca="false">Assumptions!$C$99</f>
        <v>4500</v>
      </c>
      <c r="O13" s="31" t="n">
        <f aca="false">Assumptions!$C$99</f>
        <v>4500</v>
      </c>
      <c r="P13" s="31" t="n">
        <f aca="false">Assumptions!$C$99</f>
        <v>4500</v>
      </c>
      <c r="Q13" s="31" t="n">
        <f aca="false">Assumptions!$C$99</f>
        <v>4500</v>
      </c>
      <c r="R13" s="31" t="n">
        <f aca="false">Assumptions!$C$99</f>
        <v>4500</v>
      </c>
      <c r="S13" s="31" t="n">
        <f aca="false">Assumptions!$C$99</f>
        <v>4500</v>
      </c>
      <c r="T13" s="31" t="n">
        <f aca="false">Assumptions!$C$99</f>
        <v>4500</v>
      </c>
      <c r="U13" s="31" t="n">
        <f aca="false">Assumptions!$C$99</f>
        <v>4500</v>
      </c>
      <c r="V13" s="31" t="n">
        <f aca="false">Assumptions!$C$99</f>
        <v>4500</v>
      </c>
      <c r="W13" s="31" t="n">
        <f aca="false">Assumptions!$C$99</f>
        <v>4500</v>
      </c>
      <c r="X13" s="31" t="n">
        <f aca="false">Assumptions!$C$99</f>
        <v>4500</v>
      </c>
      <c r="Y13" s="31" t="n">
        <f aca="false">Assumptions!$C$99</f>
        <v>4500</v>
      </c>
      <c r="Z13" s="31" t="n">
        <f aca="false">Assumptions!$C$99</f>
        <v>4500</v>
      </c>
      <c r="AA13" s="31" t="n">
        <f aca="false">Assumptions!$C$99</f>
        <v>4500</v>
      </c>
      <c r="AB13" s="31" t="n">
        <f aca="false">Assumptions!$C$99</f>
        <v>4500</v>
      </c>
      <c r="AC13" s="31" t="n">
        <f aca="false">Assumptions!$C$99</f>
        <v>4500</v>
      </c>
      <c r="AD13" s="31" t="n">
        <f aca="false">Assumptions!$C$99</f>
        <v>4500</v>
      </c>
      <c r="AE13" s="31" t="n">
        <f aca="false">Assumptions!$C$99</f>
        <v>4500</v>
      </c>
      <c r="AF13" s="31" t="n">
        <f aca="false">Assumptions!$C$99</f>
        <v>4500</v>
      </c>
      <c r="AG13" s="31" t="n">
        <f aca="false">Assumptions!$C$99</f>
        <v>4500</v>
      </c>
      <c r="AH13" s="31" t="n">
        <f aca="false">Assumptions!$C$99</f>
        <v>4500</v>
      </c>
      <c r="AI13" s="31" t="n">
        <f aca="false">Assumptions!$C$99</f>
        <v>4500</v>
      </c>
      <c r="AJ13" s="31" t="n">
        <f aca="false">Assumptions!$C$99</f>
        <v>4500</v>
      </c>
      <c r="AK13" s="31" t="n">
        <f aca="false">Assumptions!$C$99</f>
        <v>4500</v>
      </c>
      <c r="AL13" s="31" t="n">
        <f aca="false">Assumptions!$C$99</f>
        <v>4500</v>
      </c>
      <c r="AM13" s="50" t="n">
        <f aca="false">SUMIF($C$5:$AL$5,AM$5,$C13:$AL13)</f>
        <v>54000</v>
      </c>
      <c r="AN13" s="50" t="n">
        <f aca="false">SUMIF($C$5:$AL$5,AN$5,$C13:$AL13)</f>
        <v>54000</v>
      </c>
      <c r="AO13" s="50" t="n">
        <f aca="false">SUMIF($C$5:$AL$5,AO$5,$C13:$AL13)</f>
        <v>54000</v>
      </c>
    </row>
  </sheetData>
  <printOptions headings="false" gridLines="false" gridLinesSet="true" horizontalCentered="false" verticalCentered="false"/>
  <pageMargins left="0.75" right="0.75" top="1" bottom="1" header="0.511811023622047" footer="0.511811023622047"/>
  <pageSetup paperSize="1" scale="100" fitToWidth="0" fitToHeight="1"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O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2" min="2" style="0" width="9"/>
    <col collapsed="false" customWidth="true" hidden="false" outlineLevel="0" max="38" min="3" style="0" width="11"/>
    <col collapsed="false" customWidth="true" hidden="false" outlineLevel="0" max="41" min="39" style="0" width="13"/>
  </cols>
  <sheetData>
    <row r="1" customFormat="false" ht="17.35" hidden="false" customHeight="false" outlineLevel="0" collapsed="false">
      <c r="A1" s="1" t="s">
        <v>413</v>
      </c>
    </row>
    <row r="2" customFormat="false" ht="15" hidden="false" customHeight="false" outlineLevel="0" collapsed="false">
      <c r="A2" s="2" t="s">
        <v>414</v>
      </c>
    </row>
    <row r="4" customFormat="false" ht="15" hidden="false" customHeight="false" outlineLevel="0" collapsed="false">
      <c r="A4" s="3" t="s">
        <v>303</v>
      </c>
      <c r="C4" s="35" t="n">
        <v>1</v>
      </c>
      <c r="D4" s="35" t="n">
        <v>2</v>
      </c>
      <c r="E4" s="35" t="n">
        <v>3</v>
      </c>
      <c r="F4" s="35" t="n">
        <v>4</v>
      </c>
      <c r="G4" s="35" t="n">
        <v>5</v>
      </c>
      <c r="H4" s="35" t="n">
        <v>6</v>
      </c>
      <c r="I4" s="35" t="n">
        <v>7</v>
      </c>
      <c r="J4" s="35" t="n">
        <v>8</v>
      </c>
      <c r="K4" s="35" t="n">
        <v>9</v>
      </c>
      <c r="L4" s="35" t="n">
        <v>10</v>
      </c>
      <c r="M4" s="35" t="n">
        <v>11</v>
      </c>
      <c r="N4" s="35" t="n">
        <v>12</v>
      </c>
      <c r="O4" s="35" t="n">
        <v>13</v>
      </c>
      <c r="P4" s="35" t="n">
        <v>14</v>
      </c>
      <c r="Q4" s="35" t="n">
        <v>15</v>
      </c>
      <c r="R4" s="35" t="n">
        <v>16</v>
      </c>
      <c r="S4" s="35" t="n">
        <v>17</v>
      </c>
      <c r="T4" s="35" t="n">
        <v>18</v>
      </c>
      <c r="U4" s="35" t="n">
        <v>19</v>
      </c>
      <c r="V4" s="35" t="n">
        <v>20</v>
      </c>
      <c r="W4" s="35" t="n">
        <v>21</v>
      </c>
      <c r="X4" s="35" t="n">
        <v>22</v>
      </c>
      <c r="Y4" s="35" t="n">
        <v>23</v>
      </c>
      <c r="Z4" s="35" t="n">
        <v>24</v>
      </c>
      <c r="AA4" s="35" t="n">
        <v>25</v>
      </c>
      <c r="AB4" s="35" t="n">
        <v>26</v>
      </c>
      <c r="AC4" s="35" t="n">
        <v>27</v>
      </c>
      <c r="AD4" s="35" t="n">
        <v>28</v>
      </c>
      <c r="AE4" s="35" t="n">
        <v>29</v>
      </c>
      <c r="AF4" s="35" t="n">
        <v>30</v>
      </c>
      <c r="AG4" s="35" t="n">
        <v>31</v>
      </c>
      <c r="AH4" s="35" t="n">
        <v>32</v>
      </c>
      <c r="AI4" s="35" t="n">
        <v>33</v>
      </c>
      <c r="AJ4" s="35" t="n">
        <v>34</v>
      </c>
      <c r="AK4" s="35" t="n">
        <v>35</v>
      </c>
      <c r="AL4" s="35" t="n">
        <v>36</v>
      </c>
      <c r="AM4" s="36" t="s">
        <v>304</v>
      </c>
      <c r="AN4" s="36" t="s">
        <v>304</v>
      </c>
      <c r="AO4" s="36" t="s">
        <v>304</v>
      </c>
    </row>
    <row r="5" customFormat="false" ht="15" hidden="false" customHeight="false" outlineLevel="0" collapsed="false">
      <c r="A5" s="3" t="s">
        <v>305</v>
      </c>
      <c r="C5" s="37" t="n">
        <f aca="false">INT((C4-1)/12)+1</f>
        <v>1</v>
      </c>
      <c r="D5" s="37" t="n">
        <f aca="false">INT((D4-1)/12)+1</f>
        <v>1</v>
      </c>
      <c r="E5" s="37" t="n">
        <f aca="false">INT((E4-1)/12)+1</f>
        <v>1</v>
      </c>
      <c r="F5" s="37" t="n">
        <f aca="false">INT((F4-1)/12)+1</f>
        <v>1</v>
      </c>
      <c r="G5" s="37" t="n">
        <f aca="false">INT((G4-1)/12)+1</f>
        <v>1</v>
      </c>
      <c r="H5" s="37" t="n">
        <f aca="false">INT((H4-1)/12)+1</f>
        <v>1</v>
      </c>
      <c r="I5" s="37" t="n">
        <f aca="false">INT((I4-1)/12)+1</f>
        <v>1</v>
      </c>
      <c r="J5" s="37" t="n">
        <f aca="false">INT((J4-1)/12)+1</f>
        <v>1</v>
      </c>
      <c r="K5" s="37" t="n">
        <f aca="false">INT((K4-1)/12)+1</f>
        <v>1</v>
      </c>
      <c r="L5" s="37" t="n">
        <f aca="false">INT((L4-1)/12)+1</f>
        <v>1</v>
      </c>
      <c r="M5" s="37" t="n">
        <f aca="false">INT((M4-1)/12)+1</f>
        <v>1</v>
      </c>
      <c r="N5" s="37" t="n">
        <f aca="false">INT((N4-1)/12)+1</f>
        <v>1</v>
      </c>
      <c r="O5" s="37" t="n">
        <f aca="false">INT((O4-1)/12)+1</f>
        <v>2</v>
      </c>
      <c r="P5" s="37" t="n">
        <f aca="false">INT((P4-1)/12)+1</f>
        <v>2</v>
      </c>
      <c r="Q5" s="37" t="n">
        <f aca="false">INT((Q4-1)/12)+1</f>
        <v>2</v>
      </c>
      <c r="R5" s="37" t="n">
        <f aca="false">INT((R4-1)/12)+1</f>
        <v>2</v>
      </c>
      <c r="S5" s="37" t="n">
        <f aca="false">INT((S4-1)/12)+1</f>
        <v>2</v>
      </c>
      <c r="T5" s="37" t="n">
        <f aca="false">INT((T4-1)/12)+1</f>
        <v>2</v>
      </c>
      <c r="U5" s="37" t="n">
        <f aca="false">INT((U4-1)/12)+1</f>
        <v>2</v>
      </c>
      <c r="V5" s="37" t="n">
        <f aca="false">INT((V4-1)/12)+1</f>
        <v>2</v>
      </c>
      <c r="W5" s="37" t="n">
        <f aca="false">INT((W4-1)/12)+1</f>
        <v>2</v>
      </c>
      <c r="X5" s="37" t="n">
        <f aca="false">INT((X4-1)/12)+1</f>
        <v>2</v>
      </c>
      <c r="Y5" s="37" t="n">
        <f aca="false">INT((Y4-1)/12)+1</f>
        <v>2</v>
      </c>
      <c r="Z5" s="37" t="n">
        <f aca="false">INT((Z4-1)/12)+1</f>
        <v>2</v>
      </c>
      <c r="AA5" s="37" t="n">
        <f aca="false">INT((AA4-1)/12)+1</f>
        <v>3</v>
      </c>
      <c r="AB5" s="37" t="n">
        <f aca="false">INT((AB4-1)/12)+1</f>
        <v>3</v>
      </c>
      <c r="AC5" s="37" t="n">
        <f aca="false">INT((AC4-1)/12)+1</f>
        <v>3</v>
      </c>
      <c r="AD5" s="37" t="n">
        <f aca="false">INT((AD4-1)/12)+1</f>
        <v>3</v>
      </c>
      <c r="AE5" s="37" t="n">
        <f aca="false">INT((AE4-1)/12)+1</f>
        <v>3</v>
      </c>
      <c r="AF5" s="37" t="n">
        <f aca="false">INT((AF4-1)/12)+1</f>
        <v>3</v>
      </c>
      <c r="AG5" s="37" t="n">
        <f aca="false">INT((AG4-1)/12)+1</f>
        <v>3</v>
      </c>
      <c r="AH5" s="37" t="n">
        <f aca="false">INT((AH4-1)/12)+1</f>
        <v>3</v>
      </c>
      <c r="AI5" s="37" t="n">
        <f aca="false">INT((AI4-1)/12)+1</f>
        <v>3</v>
      </c>
      <c r="AJ5" s="37" t="n">
        <f aca="false">INT((AJ4-1)/12)+1</f>
        <v>3</v>
      </c>
      <c r="AK5" s="37" t="n">
        <f aca="false">INT((AK4-1)/12)+1</f>
        <v>3</v>
      </c>
      <c r="AL5" s="37" t="n">
        <f aca="false">INT((AL4-1)/12)+1</f>
        <v>3</v>
      </c>
      <c r="AM5" s="35" t="n">
        <v>1</v>
      </c>
      <c r="AN5" s="35" t="n">
        <v>2</v>
      </c>
      <c r="AO5" s="35" t="n">
        <v>3</v>
      </c>
    </row>
    <row r="6" customFormat="false" ht="15" hidden="false" customHeight="false" outlineLevel="0" collapsed="false">
      <c r="A6" s="6" t="s">
        <v>306</v>
      </c>
      <c r="B6" s="6" t="s">
        <v>71</v>
      </c>
      <c r="C6" s="38" t="n">
        <f aca="false">EDATE(Assumptions!$C$7,C4-1)</f>
        <v>46388</v>
      </c>
      <c r="D6" s="38" t="n">
        <f aca="false">EDATE(Assumptions!$C$7,D4-1)</f>
        <v>46419</v>
      </c>
      <c r="E6" s="38" t="n">
        <f aca="false">EDATE(Assumptions!$C$7,E4-1)</f>
        <v>46447</v>
      </c>
      <c r="F6" s="38" t="n">
        <f aca="false">EDATE(Assumptions!$C$7,F4-1)</f>
        <v>46478</v>
      </c>
      <c r="G6" s="38" t="n">
        <f aca="false">EDATE(Assumptions!$C$7,G4-1)</f>
        <v>46508</v>
      </c>
      <c r="H6" s="38" t="n">
        <f aca="false">EDATE(Assumptions!$C$7,H4-1)</f>
        <v>46539</v>
      </c>
      <c r="I6" s="38" t="n">
        <f aca="false">EDATE(Assumptions!$C$7,I4-1)</f>
        <v>46569</v>
      </c>
      <c r="J6" s="38" t="n">
        <f aca="false">EDATE(Assumptions!$C$7,J4-1)</f>
        <v>46600</v>
      </c>
      <c r="K6" s="38" t="n">
        <f aca="false">EDATE(Assumptions!$C$7,K4-1)</f>
        <v>46631</v>
      </c>
      <c r="L6" s="38" t="n">
        <f aca="false">EDATE(Assumptions!$C$7,L4-1)</f>
        <v>46661</v>
      </c>
      <c r="M6" s="38" t="n">
        <f aca="false">EDATE(Assumptions!$C$7,M4-1)</f>
        <v>46692</v>
      </c>
      <c r="N6" s="38" t="n">
        <f aca="false">EDATE(Assumptions!$C$7,N4-1)</f>
        <v>46722</v>
      </c>
      <c r="O6" s="38" t="n">
        <f aca="false">EDATE(Assumptions!$C$7,O4-1)</f>
        <v>46753</v>
      </c>
      <c r="P6" s="38" t="n">
        <f aca="false">EDATE(Assumptions!$C$7,P4-1)</f>
        <v>46784</v>
      </c>
      <c r="Q6" s="38" t="n">
        <f aca="false">EDATE(Assumptions!$C$7,Q4-1)</f>
        <v>46813</v>
      </c>
      <c r="R6" s="38" t="n">
        <f aca="false">EDATE(Assumptions!$C$7,R4-1)</f>
        <v>46844</v>
      </c>
      <c r="S6" s="38" t="n">
        <f aca="false">EDATE(Assumptions!$C$7,S4-1)</f>
        <v>46874</v>
      </c>
      <c r="T6" s="38" t="n">
        <f aca="false">EDATE(Assumptions!$C$7,T4-1)</f>
        <v>46905</v>
      </c>
      <c r="U6" s="38" t="n">
        <f aca="false">EDATE(Assumptions!$C$7,U4-1)</f>
        <v>46935</v>
      </c>
      <c r="V6" s="38" t="n">
        <f aca="false">EDATE(Assumptions!$C$7,V4-1)</f>
        <v>46966</v>
      </c>
      <c r="W6" s="38" t="n">
        <f aca="false">EDATE(Assumptions!$C$7,W4-1)</f>
        <v>46997</v>
      </c>
      <c r="X6" s="38" t="n">
        <f aca="false">EDATE(Assumptions!$C$7,X4-1)</f>
        <v>47027</v>
      </c>
      <c r="Y6" s="38" t="n">
        <f aca="false">EDATE(Assumptions!$C$7,Y4-1)</f>
        <v>47058</v>
      </c>
      <c r="Z6" s="38" t="n">
        <f aca="false">EDATE(Assumptions!$C$7,Z4-1)</f>
        <v>47088</v>
      </c>
      <c r="AA6" s="38" t="n">
        <f aca="false">EDATE(Assumptions!$C$7,AA4-1)</f>
        <v>47119</v>
      </c>
      <c r="AB6" s="38" t="n">
        <f aca="false">EDATE(Assumptions!$C$7,AB4-1)</f>
        <v>47150</v>
      </c>
      <c r="AC6" s="38" t="n">
        <f aca="false">EDATE(Assumptions!$C$7,AC4-1)</f>
        <v>47178</v>
      </c>
      <c r="AD6" s="38" t="n">
        <f aca="false">EDATE(Assumptions!$C$7,AD4-1)</f>
        <v>47209</v>
      </c>
      <c r="AE6" s="38" t="n">
        <f aca="false">EDATE(Assumptions!$C$7,AE4-1)</f>
        <v>47239</v>
      </c>
      <c r="AF6" s="38" t="n">
        <f aca="false">EDATE(Assumptions!$C$7,AF4-1)</f>
        <v>47270</v>
      </c>
      <c r="AG6" s="38" t="n">
        <f aca="false">EDATE(Assumptions!$C$7,AG4-1)</f>
        <v>47300</v>
      </c>
      <c r="AH6" s="38" t="n">
        <f aca="false">EDATE(Assumptions!$C$7,AH4-1)</f>
        <v>47331</v>
      </c>
      <c r="AI6" s="38" t="n">
        <f aca="false">EDATE(Assumptions!$C$7,AI4-1)</f>
        <v>47362</v>
      </c>
      <c r="AJ6" s="38" t="n">
        <f aca="false">EDATE(Assumptions!$C$7,AJ4-1)</f>
        <v>47392</v>
      </c>
      <c r="AK6" s="38" t="n">
        <f aca="false">EDATE(Assumptions!$C$7,AK4-1)</f>
        <v>47423</v>
      </c>
      <c r="AL6" s="38" t="n">
        <f aca="false">EDATE(Assumptions!$C$7,AL4-1)</f>
        <v>47453</v>
      </c>
      <c r="AM6" s="39" t="s">
        <v>307</v>
      </c>
      <c r="AN6" s="39" t="s">
        <v>308</v>
      </c>
      <c r="AO6" s="39" t="s">
        <v>309</v>
      </c>
    </row>
    <row r="7" customFormat="false" ht="15" hidden="false" customHeight="false" outlineLevel="0" collapsed="false">
      <c r="A7" s="42" t="s">
        <v>415</v>
      </c>
      <c r="B7" s="43"/>
      <c r="C7" s="64" t="n">
        <f aca="false">Revenue!C22</f>
        <v>13860</v>
      </c>
      <c r="D7" s="64" t="n">
        <f aca="false">Revenue!D22</f>
        <v>18480</v>
      </c>
      <c r="E7" s="64" t="n">
        <f aca="false">Revenue!E22</f>
        <v>21945</v>
      </c>
      <c r="F7" s="64" t="n">
        <f aca="false">Revenue!F22</f>
        <v>23100</v>
      </c>
      <c r="G7" s="64" t="n">
        <f aca="false">Revenue!G22</f>
        <v>23100</v>
      </c>
      <c r="H7" s="64" t="n">
        <f aca="false">Revenue!H22</f>
        <v>23100</v>
      </c>
      <c r="I7" s="64" t="n">
        <f aca="false">Revenue!I22</f>
        <v>23100</v>
      </c>
      <c r="J7" s="64" t="n">
        <f aca="false">Revenue!J22</f>
        <v>23100</v>
      </c>
      <c r="K7" s="64" t="n">
        <f aca="false">Revenue!K22</f>
        <v>23100</v>
      </c>
      <c r="L7" s="64" t="n">
        <f aca="false">Revenue!L22</f>
        <v>23100</v>
      </c>
      <c r="M7" s="64" t="n">
        <f aca="false">Revenue!M22</f>
        <v>23100</v>
      </c>
      <c r="N7" s="64" t="n">
        <f aca="false">Revenue!N22</f>
        <v>23100</v>
      </c>
      <c r="O7" s="64" t="n">
        <f aca="false">Revenue!O22</f>
        <v>23562</v>
      </c>
      <c r="P7" s="64" t="n">
        <f aca="false">Revenue!P22</f>
        <v>23562</v>
      </c>
      <c r="Q7" s="64" t="n">
        <f aca="false">Revenue!Q22</f>
        <v>23562</v>
      </c>
      <c r="R7" s="64" t="n">
        <f aca="false">Revenue!R22</f>
        <v>23562</v>
      </c>
      <c r="S7" s="64" t="n">
        <f aca="false">Revenue!S22</f>
        <v>23562</v>
      </c>
      <c r="T7" s="64" t="n">
        <f aca="false">Revenue!T22</f>
        <v>23562</v>
      </c>
      <c r="U7" s="64" t="n">
        <f aca="false">Revenue!U22</f>
        <v>23562</v>
      </c>
      <c r="V7" s="64" t="n">
        <f aca="false">Revenue!V22</f>
        <v>23562</v>
      </c>
      <c r="W7" s="64" t="n">
        <f aca="false">Revenue!W22</f>
        <v>23562</v>
      </c>
      <c r="X7" s="64" t="n">
        <f aca="false">Revenue!X22</f>
        <v>23562</v>
      </c>
      <c r="Y7" s="64" t="n">
        <f aca="false">Revenue!Y22</f>
        <v>23562</v>
      </c>
      <c r="Z7" s="64" t="n">
        <f aca="false">Revenue!Z22</f>
        <v>23562</v>
      </c>
      <c r="AA7" s="64" t="n">
        <f aca="false">Revenue!AA22</f>
        <v>24033.24</v>
      </c>
      <c r="AB7" s="64" t="n">
        <f aca="false">Revenue!AB22</f>
        <v>24033.24</v>
      </c>
      <c r="AC7" s="64" t="n">
        <f aca="false">Revenue!AC22</f>
        <v>24033.24</v>
      </c>
      <c r="AD7" s="64" t="n">
        <f aca="false">Revenue!AD22</f>
        <v>24033.24</v>
      </c>
      <c r="AE7" s="64" t="n">
        <f aca="false">Revenue!AE22</f>
        <v>24033.24</v>
      </c>
      <c r="AF7" s="64" t="n">
        <f aca="false">Revenue!AF22</f>
        <v>24033.24</v>
      </c>
      <c r="AG7" s="64" t="n">
        <f aca="false">Revenue!AG22</f>
        <v>24033.24</v>
      </c>
      <c r="AH7" s="64" t="n">
        <f aca="false">Revenue!AH22</f>
        <v>24033.24</v>
      </c>
      <c r="AI7" s="64" t="n">
        <f aca="false">Revenue!AI22</f>
        <v>24033.24</v>
      </c>
      <c r="AJ7" s="64" t="n">
        <f aca="false">Revenue!AJ22</f>
        <v>24033.24</v>
      </c>
      <c r="AK7" s="64" t="n">
        <f aca="false">Revenue!AK22</f>
        <v>24033.24</v>
      </c>
      <c r="AL7" s="64" t="n">
        <f aca="false">Revenue!AL22</f>
        <v>24033.24</v>
      </c>
      <c r="AM7" s="52" t="n">
        <f aca="false">SUMIF($C$5:$AL$5,AM$5,$C7:$AL7)</f>
        <v>262185</v>
      </c>
      <c r="AN7" s="52" t="n">
        <f aca="false">SUMIF($C$5:$AL$5,AN$5,$C7:$AL7)</f>
        <v>282744</v>
      </c>
      <c r="AO7" s="52" t="n">
        <f aca="false">SUMIF($C$5:$AL$5,AO$5,$C7:$AL7)</f>
        <v>288398.88</v>
      </c>
    </row>
    <row r="9" customFormat="false" ht="15" hidden="false" customHeight="false" outlineLevel="0" collapsed="false">
      <c r="A9" s="40" t="s">
        <v>416</v>
      </c>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row>
    <row r="10" customFormat="false" ht="15" hidden="false" customHeight="false" outlineLevel="0" collapsed="false">
      <c r="A10" s="10" t="s">
        <v>331</v>
      </c>
      <c r="B10" s="2"/>
      <c r="C10" s="65" t="n">
        <f aca="false">'Operating Costs'!C12</f>
        <v>5815.38461538462</v>
      </c>
      <c r="D10" s="65" t="n">
        <f aca="false">'Operating Costs'!D12</f>
        <v>7753.84615384615</v>
      </c>
      <c r="E10" s="65" t="n">
        <f aca="false">'Operating Costs'!E12</f>
        <v>9207.69230769231</v>
      </c>
      <c r="F10" s="65" t="n">
        <f aca="false">'Operating Costs'!F12</f>
        <v>9692.30769230769</v>
      </c>
      <c r="G10" s="65" t="n">
        <f aca="false">'Operating Costs'!G12</f>
        <v>9692.30769230769</v>
      </c>
      <c r="H10" s="65" t="n">
        <f aca="false">'Operating Costs'!H12</f>
        <v>9692.30769230769</v>
      </c>
      <c r="I10" s="65" t="n">
        <f aca="false">'Operating Costs'!I12</f>
        <v>9692.30769230769</v>
      </c>
      <c r="J10" s="65" t="n">
        <f aca="false">'Operating Costs'!J12</f>
        <v>9692.30769230769</v>
      </c>
      <c r="K10" s="65" t="n">
        <f aca="false">'Operating Costs'!K12</f>
        <v>9692.30769230769</v>
      </c>
      <c r="L10" s="65" t="n">
        <f aca="false">'Operating Costs'!L12</f>
        <v>9692.30769230769</v>
      </c>
      <c r="M10" s="65" t="n">
        <f aca="false">'Operating Costs'!M12</f>
        <v>9692.30769230769</v>
      </c>
      <c r="N10" s="65" t="n">
        <f aca="false">'Operating Costs'!N12</f>
        <v>9692.30769230769</v>
      </c>
      <c r="O10" s="65" t="n">
        <f aca="false">'Operating Costs'!O12</f>
        <v>9692.30769230769</v>
      </c>
      <c r="P10" s="65" t="n">
        <f aca="false">'Operating Costs'!P12</f>
        <v>9692.30769230769</v>
      </c>
      <c r="Q10" s="65" t="n">
        <f aca="false">'Operating Costs'!Q12</f>
        <v>9692.30769230769</v>
      </c>
      <c r="R10" s="65" t="n">
        <f aca="false">'Operating Costs'!R12</f>
        <v>9692.30769230769</v>
      </c>
      <c r="S10" s="65" t="n">
        <f aca="false">'Operating Costs'!S12</f>
        <v>9692.30769230769</v>
      </c>
      <c r="T10" s="65" t="n">
        <f aca="false">'Operating Costs'!T12</f>
        <v>9692.30769230769</v>
      </c>
      <c r="U10" s="65" t="n">
        <f aca="false">'Operating Costs'!U12</f>
        <v>9692.30769230769</v>
      </c>
      <c r="V10" s="65" t="n">
        <f aca="false">'Operating Costs'!V12</f>
        <v>9692.30769230769</v>
      </c>
      <c r="W10" s="65" t="n">
        <f aca="false">'Operating Costs'!W12</f>
        <v>9692.30769230769</v>
      </c>
      <c r="X10" s="65" t="n">
        <f aca="false">'Operating Costs'!X12</f>
        <v>9692.30769230769</v>
      </c>
      <c r="Y10" s="65" t="n">
        <f aca="false">'Operating Costs'!Y12</f>
        <v>9692.30769230769</v>
      </c>
      <c r="Z10" s="65" t="n">
        <f aca="false">'Operating Costs'!Z12</f>
        <v>9692.30769230769</v>
      </c>
      <c r="AA10" s="65" t="n">
        <f aca="false">'Operating Costs'!AA12</f>
        <v>9692.30769230769</v>
      </c>
      <c r="AB10" s="65" t="n">
        <f aca="false">'Operating Costs'!AB12</f>
        <v>9692.30769230769</v>
      </c>
      <c r="AC10" s="65" t="n">
        <f aca="false">'Operating Costs'!AC12</f>
        <v>9692.30769230769</v>
      </c>
      <c r="AD10" s="65" t="n">
        <f aca="false">'Operating Costs'!AD12</f>
        <v>9692.30769230769</v>
      </c>
      <c r="AE10" s="65" t="n">
        <f aca="false">'Operating Costs'!AE12</f>
        <v>9692.30769230769</v>
      </c>
      <c r="AF10" s="65" t="n">
        <f aca="false">'Operating Costs'!AF12</f>
        <v>9692.30769230769</v>
      </c>
      <c r="AG10" s="65" t="n">
        <f aca="false">'Operating Costs'!AG12</f>
        <v>9692.30769230769</v>
      </c>
      <c r="AH10" s="65" t="n">
        <f aca="false">'Operating Costs'!AH12</f>
        <v>9692.30769230769</v>
      </c>
      <c r="AI10" s="65" t="n">
        <f aca="false">'Operating Costs'!AI12</f>
        <v>9692.30769230769</v>
      </c>
      <c r="AJ10" s="65" t="n">
        <f aca="false">'Operating Costs'!AJ12</f>
        <v>9692.30769230769</v>
      </c>
      <c r="AK10" s="65" t="n">
        <f aca="false">'Operating Costs'!AK12</f>
        <v>9692.30769230769</v>
      </c>
      <c r="AL10" s="65" t="n">
        <f aca="false">'Operating Costs'!AL12</f>
        <v>9692.30769230769</v>
      </c>
      <c r="AM10" s="50" t="n">
        <f aca="false">SUMIF($C$5:$AL$5,AM$5,$C10:$AL10)</f>
        <v>110007.692307692</v>
      </c>
      <c r="AN10" s="50" t="n">
        <f aca="false">SUMIF($C$5:$AL$5,AN$5,$C10:$AL10)</f>
        <v>116307.692307692</v>
      </c>
      <c r="AO10" s="50" t="n">
        <f aca="false">SUMIF($C$5:$AL$5,AO$5,$C10:$AL10)</f>
        <v>116307.692307692</v>
      </c>
    </row>
    <row r="11" customFormat="false" ht="15" hidden="false" customHeight="false" outlineLevel="0" collapsed="false">
      <c r="A11" s="10" t="s">
        <v>417</v>
      </c>
      <c r="B11" s="2"/>
      <c r="C11" s="65" t="n">
        <f aca="false">'Operating Costs'!C18-'Operating Costs'!C12</f>
        <v>1764</v>
      </c>
      <c r="D11" s="65" t="n">
        <f aca="false">'Operating Costs'!D18-'Operating Costs'!D12</f>
        <v>2352</v>
      </c>
      <c r="E11" s="65" t="n">
        <f aca="false">'Operating Costs'!E18-'Operating Costs'!E12</f>
        <v>2793</v>
      </c>
      <c r="F11" s="65" t="n">
        <f aca="false">'Operating Costs'!F18-'Operating Costs'!F12</f>
        <v>2940</v>
      </c>
      <c r="G11" s="65" t="n">
        <f aca="false">'Operating Costs'!G18-'Operating Costs'!G12</f>
        <v>2940</v>
      </c>
      <c r="H11" s="65" t="n">
        <f aca="false">'Operating Costs'!H18-'Operating Costs'!H12</f>
        <v>2940</v>
      </c>
      <c r="I11" s="65" t="n">
        <f aca="false">'Operating Costs'!I18-'Operating Costs'!I12</f>
        <v>2940</v>
      </c>
      <c r="J11" s="65" t="n">
        <f aca="false">'Operating Costs'!J18-'Operating Costs'!J12</f>
        <v>2940</v>
      </c>
      <c r="K11" s="65" t="n">
        <f aca="false">'Operating Costs'!K18-'Operating Costs'!K12</f>
        <v>2940</v>
      </c>
      <c r="L11" s="65" t="n">
        <f aca="false">'Operating Costs'!L18-'Operating Costs'!L12</f>
        <v>2940</v>
      </c>
      <c r="M11" s="65" t="n">
        <f aca="false">'Operating Costs'!M18-'Operating Costs'!M12</f>
        <v>2940</v>
      </c>
      <c r="N11" s="65" t="n">
        <f aca="false">'Operating Costs'!N18-'Operating Costs'!N12</f>
        <v>2940</v>
      </c>
      <c r="O11" s="65" t="n">
        <f aca="false">'Operating Costs'!O18-'Operating Costs'!O12</f>
        <v>3028.2</v>
      </c>
      <c r="P11" s="65" t="n">
        <f aca="false">'Operating Costs'!P18-'Operating Costs'!P12</f>
        <v>3028.2</v>
      </c>
      <c r="Q11" s="65" t="n">
        <f aca="false">'Operating Costs'!Q18-'Operating Costs'!Q12</f>
        <v>3028.2</v>
      </c>
      <c r="R11" s="65" t="n">
        <f aca="false">'Operating Costs'!R18-'Operating Costs'!R12</f>
        <v>3028.2</v>
      </c>
      <c r="S11" s="65" t="n">
        <f aca="false">'Operating Costs'!S18-'Operating Costs'!S12</f>
        <v>3028.2</v>
      </c>
      <c r="T11" s="65" t="n">
        <f aca="false">'Operating Costs'!T18-'Operating Costs'!T12</f>
        <v>3028.2</v>
      </c>
      <c r="U11" s="65" t="n">
        <f aca="false">'Operating Costs'!U18-'Operating Costs'!U12</f>
        <v>3028.2</v>
      </c>
      <c r="V11" s="65" t="n">
        <f aca="false">'Operating Costs'!V18-'Operating Costs'!V12</f>
        <v>3028.2</v>
      </c>
      <c r="W11" s="65" t="n">
        <f aca="false">'Operating Costs'!W18-'Operating Costs'!W12</f>
        <v>3028.2</v>
      </c>
      <c r="X11" s="65" t="n">
        <f aca="false">'Operating Costs'!X18-'Operating Costs'!X12</f>
        <v>3028.2</v>
      </c>
      <c r="Y11" s="65" t="n">
        <f aca="false">'Operating Costs'!Y18-'Operating Costs'!Y12</f>
        <v>3028.2</v>
      </c>
      <c r="Z11" s="65" t="n">
        <f aca="false">'Operating Costs'!Z18-'Operating Costs'!Z12</f>
        <v>3028.2</v>
      </c>
      <c r="AA11" s="65" t="n">
        <f aca="false">'Operating Costs'!AA18-'Operating Costs'!AA12</f>
        <v>3119.046</v>
      </c>
      <c r="AB11" s="65" t="n">
        <f aca="false">'Operating Costs'!AB18-'Operating Costs'!AB12</f>
        <v>3119.046</v>
      </c>
      <c r="AC11" s="65" t="n">
        <f aca="false">'Operating Costs'!AC18-'Operating Costs'!AC12</f>
        <v>3119.046</v>
      </c>
      <c r="AD11" s="65" t="n">
        <f aca="false">'Operating Costs'!AD18-'Operating Costs'!AD12</f>
        <v>3119.046</v>
      </c>
      <c r="AE11" s="65" t="n">
        <f aca="false">'Operating Costs'!AE18-'Operating Costs'!AE12</f>
        <v>3119.046</v>
      </c>
      <c r="AF11" s="65" t="n">
        <f aca="false">'Operating Costs'!AF18-'Operating Costs'!AF12</f>
        <v>3119.046</v>
      </c>
      <c r="AG11" s="65" t="n">
        <f aca="false">'Operating Costs'!AG18-'Operating Costs'!AG12</f>
        <v>3119.046</v>
      </c>
      <c r="AH11" s="65" t="n">
        <f aca="false">'Operating Costs'!AH18-'Operating Costs'!AH12</f>
        <v>3119.046</v>
      </c>
      <c r="AI11" s="65" t="n">
        <f aca="false">'Operating Costs'!AI18-'Operating Costs'!AI12</f>
        <v>3119.046</v>
      </c>
      <c r="AJ11" s="65" t="n">
        <f aca="false">'Operating Costs'!AJ18-'Operating Costs'!AJ12</f>
        <v>3119.046</v>
      </c>
      <c r="AK11" s="65" t="n">
        <f aca="false">'Operating Costs'!AK18-'Operating Costs'!AK12</f>
        <v>3119.046</v>
      </c>
      <c r="AL11" s="65" t="n">
        <f aca="false">'Operating Costs'!AL18-'Operating Costs'!AL12</f>
        <v>3119.046</v>
      </c>
      <c r="AM11" s="50" t="n">
        <f aca="false">SUMIF($C$5:$AL$5,AM$5,$C11:$AL11)</f>
        <v>33369</v>
      </c>
      <c r="AN11" s="50" t="n">
        <f aca="false">SUMIF($C$5:$AL$5,AN$5,$C11:$AL11)</f>
        <v>36338.4</v>
      </c>
      <c r="AO11" s="50" t="n">
        <f aca="false">SUMIF($C$5:$AL$5,AO$5,$C11:$AL11)</f>
        <v>37428.552</v>
      </c>
    </row>
    <row r="12" customFormat="false" ht="15" hidden="false" customHeight="false" outlineLevel="0" collapsed="false">
      <c r="A12" s="10" t="s">
        <v>418</v>
      </c>
      <c r="B12" s="2"/>
      <c r="C12" s="65" t="n">
        <f aca="false">'Driver Pay'!C11</f>
        <v>0</v>
      </c>
      <c r="D12" s="65" t="n">
        <f aca="false">'Driver Pay'!D11</f>
        <v>0</v>
      </c>
      <c r="E12" s="65" t="n">
        <f aca="false">'Driver Pay'!E11</f>
        <v>0</v>
      </c>
      <c r="F12" s="65" t="n">
        <f aca="false">'Driver Pay'!F11</f>
        <v>0</v>
      </c>
      <c r="G12" s="65" t="n">
        <f aca="false">'Driver Pay'!G11</f>
        <v>0</v>
      </c>
      <c r="H12" s="65" t="n">
        <f aca="false">'Driver Pay'!H11</f>
        <v>0</v>
      </c>
      <c r="I12" s="65" t="n">
        <f aca="false">'Driver Pay'!I11</f>
        <v>0</v>
      </c>
      <c r="J12" s="65" t="n">
        <f aca="false">'Driver Pay'!J11</f>
        <v>0</v>
      </c>
      <c r="K12" s="65" t="n">
        <f aca="false">'Driver Pay'!K11</f>
        <v>0</v>
      </c>
      <c r="L12" s="65" t="n">
        <f aca="false">'Driver Pay'!L11</f>
        <v>0</v>
      </c>
      <c r="M12" s="65" t="n">
        <f aca="false">'Driver Pay'!M11</f>
        <v>0</v>
      </c>
      <c r="N12" s="65" t="n">
        <f aca="false">'Driver Pay'!N11</f>
        <v>0</v>
      </c>
      <c r="O12" s="65" t="n">
        <f aca="false">'Driver Pay'!O11</f>
        <v>0</v>
      </c>
      <c r="P12" s="65" t="n">
        <f aca="false">'Driver Pay'!P11</f>
        <v>0</v>
      </c>
      <c r="Q12" s="65" t="n">
        <f aca="false">'Driver Pay'!Q11</f>
        <v>0</v>
      </c>
      <c r="R12" s="65" t="n">
        <f aca="false">'Driver Pay'!R11</f>
        <v>0</v>
      </c>
      <c r="S12" s="65" t="n">
        <f aca="false">'Driver Pay'!S11</f>
        <v>0</v>
      </c>
      <c r="T12" s="65" t="n">
        <f aca="false">'Driver Pay'!T11</f>
        <v>0</v>
      </c>
      <c r="U12" s="65" t="n">
        <f aca="false">'Driver Pay'!U11</f>
        <v>0</v>
      </c>
      <c r="V12" s="65" t="n">
        <f aca="false">'Driver Pay'!V11</f>
        <v>0</v>
      </c>
      <c r="W12" s="65" t="n">
        <f aca="false">'Driver Pay'!W11</f>
        <v>0</v>
      </c>
      <c r="X12" s="65" t="n">
        <f aca="false">'Driver Pay'!X11</f>
        <v>0</v>
      </c>
      <c r="Y12" s="65" t="n">
        <f aca="false">'Driver Pay'!Y11</f>
        <v>0</v>
      </c>
      <c r="Z12" s="65" t="n">
        <f aca="false">'Driver Pay'!Z11</f>
        <v>0</v>
      </c>
      <c r="AA12" s="65" t="n">
        <f aca="false">'Driver Pay'!AA11</f>
        <v>0</v>
      </c>
      <c r="AB12" s="65" t="n">
        <f aca="false">'Driver Pay'!AB11</f>
        <v>0</v>
      </c>
      <c r="AC12" s="65" t="n">
        <f aca="false">'Driver Pay'!AC11</f>
        <v>0</v>
      </c>
      <c r="AD12" s="65" t="n">
        <f aca="false">'Driver Pay'!AD11</f>
        <v>0</v>
      </c>
      <c r="AE12" s="65" t="n">
        <f aca="false">'Driver Pay'!AE11</f>
        <v>0</v>
      </c>
      <c r="AF12" s="65" t="n">
        <f aca="false">'Driver Pay'!AF11</f>
        <v>0</v>
      </c>
      <c r="AG12" s="65" t="n">
        <f aca="false">'Driver Pay'!AG11</f>
        <v>0</v>
      </c>
      <c r="AH12" s="65" t="n">
        <f aca="false">'Driver Pay'!AH11</f>
        <v>0</v>
      </c>
      <c r="AI12" s="65" t="n">
        <f aca="false">'Driver Pay'!AI11</f>
        <v>0</v>
      </c>
      <c r="AJ12" s="65" t="n">
        <f aca="false">'Driver Pay'!AJ11</f>
        <v>0</v>
      </c>
      <c r="AK12" s="65" t="n">
        <f aca="false">'Driver Pay'!AK11</f>
        <v>0</v>
      </c>
      <c r="AL12" s="65" t="n">
        <f aca="false">'Driver Pay'!AL11</f>
        <v>0</v>
      </c>
      <c r="AM12" s="50" t="n">
        <f aca="false">SUMIF($C$5:$AL$5,AM$5,$C12:$AL12)</f>
        <v>0</v>
      </c>
      <c r="AN12" s="50" t="n">
        <f aca="false">SUMIF($C$5:$AL$5,AN$5,$C12:$AL12)</f>
        <v>0</v>
      </c>
      <c r="AO12" s="50" t="n">
        <f aca="false">SUMIF($C$5:$AL$5,AO$5,$C12:$AL12)</f>
        <v>0</v>
      </c>
    </row>
    <row r="13" customFormat="false" ht="15" hidden="false" customHeight="false" outlineLevel="0" collapsed="false">
      <c r="A13" s="10" t="s">
        <v>419</v>
      </c>
      <c r="B13" s="2"/>
      <c r="C13" s="65" t="n">
        <f aca="false">'Operating Costs'!C21</f>
        <v>1333.33333333333</v>
      </c>
      <c r="D13" s="65" t="n">
        <f aca="false">'Operating Costs'!D21</f>
        <v>1333.33333333333</v>
      </c>
      <c r="E13" s="65" t="n">
        <f aca="false">'Operating Costs'!E21</f>
        <v>1333.33333333333</v>
      </c>
      <c r="F13" s="65" t="n">
        <f aca="false">'Operating Costs'!F21</f>
        <v>1333.33333333333</v>
      </c>
      <c r="G13" s="65" t="n">
        <f aca="false">'Operating Costs'!G21</f>
        <v>1333.33333333333</v>
      </c>
      <c r="H13" s="65" t="n">
        <f aca="false">'Operating Costs'!H21</f>
        <v>1333.33333333333</v>
      </c>
      <c r="I13" s="65" t="n">
        <f aca="false">'Operating Costs'!I21</f>
        <v>1333.33333333333</v>
      </c>
      <c r="J13" s="65" t="n">
        <f aca="false">'Operating Costs'!J21</f>
        <v>1333.33333333333</v>
      </c>
      <c r="K13" s="65" t="n">
        <f aca="false">'Operating Costs'!K21</f>
        <v>1333.33333333333</v>
      </c>
      <c r="L13" s="65" t="n">
        <f aca="false">'Operating Costs'!L21</f>
        <v>1333.33333333333</v>
      </c>
      <c r="M13" s="65" t="n">
        <f aca="false">'Operating Costs'!M21</f>
        <v>1333.33333333333</v>
      </c>
      <c r="N13" s="65" t="n">
        <f aca="false">'Operating Costs'!N21</f>
        <v>1333.33333333333</v>
      </c>
      <c r="O13" s="65" t="n">
        <f aca="false">'Operating Costs'!O21</f>
        <v>1373.33333333333</v>
      </c>
      <c r="P13" s="65" t="n">
        <f aca="false">'Operating Costs'!P21</f>
        <v>1373.33333333333</v>
      </c>
      <c r="Q13" s="65" t="n">
        <f aca="false">'Operating Costs'!Q21</f>
        <v>1373.33333333333</v>
      </c>
      <c r="R13" s="65" t="n">
        <f aca="false">'Operating Costs'!R21</f>
        <v>1373.33333333333</v>
      </c>
      <c r="S13" s="65" t="n">
        <f aca="false">'Operating Costs'!S21</f>
        <v>1373.33333333333</v>
      </c>
      <c r="T13" s="65" t="n">
        <f aca="false">'Operating Costs'!T21</f>
        <v>1373.33333333333</v>
      </c>
      <c r="U13" s="65" t="n">
        <f aca="false">'Operating Costs'!U21</f>
        <v>1373.33333333333</v>
      </c>
      <c r="V13" s="65" t="n">
        <f aca="false">'Operating Costs'!V21</f>
        <v>1373.33333333333</v>
      </c>
      <c r="W13" s="65" t="n">
        <f aca="false">'Operating Costs'!W21</f>
        <v>1373.33333333333</v>
      </c>
      <c r="X13" s="65" t="n">
        <f aca="false">'Operating Costs'!X21</f>
        <v>1373.33333333333</v>
      </c>
      <c r="Y13" s="65" t="n">
        <f aca="false">'Operating Costs'!Y21</f>
        <v>1373.33333333333</v>
      </c>
      <c r="Z13" s="65" t="n">
        <f aca="false">'Operating Costs'!Z21</f>
        <v>1373.33333333333</v>
      </c>
      <c r="AA13" s="65" t="n">
        <f aca="false">'Operating Costs'!AA21</f>
        <v>1414.53333333333</v>
      </c>
      <c r="AB13" s="65" t="n">
        <f aca="false">'Operating Costs'!AB21</f>
        <v>1414.53333333333</v>
      </c>
      <c r="AC13" s="65" t="n">
        <f aca="false">'Operating Costs'!AC21</f>
        <v>1414.53333333333</v>
      </c>
      <c r="AD13" s="65" t="n">
        <f aca="false">'Operating Costs'!AD21</f>
        <v>1414.53333333333</v>
      </c>
      <c r="AE13" s="65" t="n">
        <f aca="false">'Operating Costs'!AE21</f>
        <v>1414.53333333333</v>
      </c>
      <c r="AF13" s="65" t="n">
        <f aca="false">'Operating Costs'!AF21</f>
        <v>1414.53333333333</v>
      </c>
      <c r="AG13" s="65" t="n">
        <f aca="false">'Operating Costs'!AG21</f>
        <v>1414.53333333333</v>
      </c>
      <c r="AH13" s="65" t="n">
        <f aca="false">'Operating Costs'!AH21</f>
        <v>1414.53333333333</v>
      </c>
      <c r="AI13" s="65" t="n">
        <f aca="false">'Operating Costs'!AI21</f>
        <v>1414.53333333333</v>
      </c>
      <c r="AJ13" s="65" t="n">
        <f aca="false">'Operating Costs'!AJ21</f>
        <v>1414.53333333333</v>
      </c>
      <c r="AK13" s="65" t="n">
        <f aca="false">'Operating Costs'!AK21</f>
        <v>1414.53333333333</v>
      </c>
      <c r="AL13" s="65" t="n">
        <f aca="false">'Operating Costs'!AL21</f>
        <v>1414.53333333333</v>
      </c>
      <c r="AM13" s="50" t="n">
        <f aca="false">SUMIF($C$5:$AL$5,AM$5,$C13:$AL13)</f>
        <v>16000</v>
      </c>
      <c r="AN13" s="50" t="n">
        <f aca="false">SUMIF($C$5:$AL$5,AN$5,$C13:$AL13)</f>
        <v>16480</v>
      </c>
      <c r="AO13" s="50" t="n">
        <f aca="false">SUMIF($C$5:$AL$5,AO$5,$C13:$AL13)</f>
        <v>16974.4</v>
      </c>
    </row>
    <row r="14" customFormat="false" ht="15" hidden="false" customHeight="false" outlineLevel="0" collapsed="false">
      <c r="A14" s="10" t="s">
        <v>420</v>
      </c>
      <c r="B14" s="2"/>
      <c r="C14" s="65" t="n">
        <f aca="false">'Operating Costs'!C22</f>
        <v>250.416666666667</v>
      </c>
      <c r="D14" s="65" t="n">
        <f aca="false">'Operating Costs'!D22</f>
        <v>250.416666666667</v>
      </c>
      <c r="E14" s="65" t="n">
        <f aca="false">'Operating Costs'!E22</f>
        <v>250.416666666667</v>
      </c>
      <c r="F14" s="65" t="n">
        <f aca="false">'Operating Costs'!F22</f>
        <v>250.416666666667</v>
      </c>
      <c r="G14" s="65" t="n">
        <f aca="false">'Operating Costs'!G22</f>
        <v>250.416666666667</v>
      </c>
      <c r="H14" s="65" t="n">
        <f aca="false">'Operating Costs'!H22</f>
        <v>250.416666666667</v>
      </c>
      <c r="I14" s="65" t="n">
        <f aca="false">'Operating Costs'!I22</f>
        <v>250.416666666667</v>
      </c>
      <c r="J14" s="65" t="n">
        <f aca="false">'Operating Costs'!J22</f>
        <v>250.416666666667</v>
      </c>
      <c r="K14" s="65" t="n">
        <f aca="false">'Operating Costs'!K22</f>
        <v>250.416666666667</v>
      </c>
      <c r="L14" s="65" t="n">
        <f aca="false">'Operating Costs'!L22</f>
        <v>250.416666666667</v>
      </c>
      <c r="M14" s="65" t="n">
        <f aca="false">'Operating Costs'!M22</f>
        <v>250.416666666667</v>
      </c>
      <c r="N14" s="65" t="n">
        <f aca="false">'Operating Costs'!N22</f>
        <v>250.416666666667</v>
      </c>
      <c r="O14" s="65" t="n">
        <f aca="false">'Operating Costs'!O22</f>
        <v>250.416666666667</v>
      </c>
      <c r="P14" s="65" t="n">
        <f aca="false">'Operating Costs'!P22</f>
        <v>250.416666666667</v>
      </c>
      <c r="Q14" s="65" t="n">
        <f aca="false">'Operating Costs'!Q22</f>
        <v>250.416666666667</v>
      </c>
      <c r="R14" s="65" t="n">
        <f aca="false">'Operating Costs'!R22</f>
        <v>250.416666666667</v>
      </c>
      <c r="S14" s="65" t="n">
        <f aca="false">'Operating Costs'!S22</f>
        <v>250.416666666667</v>
      </c>
      <c r="T14" s="65" t="n">
        <f aca="false">'Operating Costs'!T22</f>
        <v>250.416666666667</v>
      </c>
      <c r="U14" s="65" t="n">
        <f aca="false">'Operating Costs'!U22</f>
        <v>250.416666666667</v>
      </c>
      <c r="V14" s="65" t="n">
        <f aca="false">'Operating Costs'!V22</f>
        <v>250.416666666667</v>
      </c>
      <c r="W14" s="65" t="n">
        <f aca="false">'Operating Costs'!W22</f>
        <v>250.416666666667</v>
      </c>
      <c r="X14" s="65" t="n">
        <f aca="false">'Operating Costs'!X22</f>
        <v>250.416666666667</v>
      </c>
      <c r="Y14" s="65" t="n">
        <f aca="false">'Operating Costs'!Y22</f>
        <v>250.416666666667</v>
      </c>
      <c r="Z14" s="65" t="n">
        <f aca="false">'Operating Costs'!Z22</f>
        <v>250.416666666667</v>
      </c>
      <c r="AA14" s="65" t="n">
        <f aca="false">'Operating Costs'!AA22</f>
        <v>250.416666666667</v>
      </c>
      <c r="AB14" s="65" t="n">
        <f aca="false">'Operating Costs'!AB22</f>
        <v>250.416666666667</v>
      </c>
      <c r="AC14" s="65" t="n">
        <f aca="false">'Operating Costs'!AC22</f>
        <v>250.416666666667</v>
      </c>
      <c r="AD14" s="65" t="n">
        <f aca="false">'Operating Costs'!AD22</f>
        <v>250.416666666667</v>
      </c>
      <c r="AE14" s="65" t="n">
        <f aca="false">'Operating Costs'!AE22</f>
        <v>250.416666666667</v>
      </c>
      <c r="AF14" s="65" t="n">
        <f aca="false">'Operating Costs'!AF22</f>
        <v>250.416666666667</v>
      </c>
      <c r="AG14" s="65" t="n">
        <f aca="false">'Operating Costs'!AG22</f>
        <v>250.416666666667</v>
      </c>
      <c r="AH14" s="65" t="n">
        <f aca="false">'Operating Costs'!AH22</f>
        <v>250.416666666667</v>
      </c>
      <c r="AI14" s="65" t="n">
        <f aca="false">'Operating Costs'!AI22</f>
        <v>250.416666666667</v>
      </c>
      <c r="AJ14" s="65" t="n">
        <f aca="false">'Operating Costs'!AJ22</f>
        <v>250.416666666667</v>
      </c>
      <c r="AK14" s="65" t="n">
        <f aca="false">'Operating Costs'!AK22</f>
        <v>250.416666666667</v>
      </c>
      <c r="AL14" s="65" t="n">
        <f aca="false">'Operating Costs'!AL22</f>
        <v>250.416666666667</v>
      </c>
      <c r="AM14" s="50" t="n">
        <f aca="false">SUMIF($C$5:$AL$5,AM$5,$C14:$AL14)</f>
        <v>3005</v>
      </c>
      <c r="AN14" s="50" t="n">
        <f aca="false">SUMIF($C$5:$AL$5,AN$5,$C14:$AL14)</f>
        <v>3005</v>
      </c>
      <c r="AO14" s="50" t="n">
        <f aca="false">SUMIF($C$5:$AL$5,AO$5,$C14:$AL14)</f>
        <v>3005</v>
      </c>
    </row>
    <row r="15" customFormat="false" ht="15" hidden="false" customHeight="false" outlineLevel="0" collapsed="false">
      <c r="A15" s="10" t="s">
        <v>421</v>
      </c>
      <c r="B15" s="2"/>
      <c r="C15" s="65" t="n">
        <f aca="false">'Operating Costs'!C27-'Operating Costs'!C21-'Operating Costs'!C22</f>
        <v>690</v>
      </c>
      <c r="D15" s="65" t="n">
        <f aca="false">'Operating Costs'!D27-'Operating Costs'!D21-'Operating Costs'!D22</f>
        <v>690</v>
      </c>
      <c r="E15" s="65" t="n">
        <f aca="false">'Operating Costs'!E27-'Operating Costs'!E21-'Operating Costs'!E22</f>
        <v>690</v>
      </c>
      <c r="F15" s="65" t="n">
        <f aca="false">'Operating Costs'!F27-'Operating Costs'!F21-'Operating Costs'!F22</f>
        <v>690</v>
      </c>
      <c r="G15" s="65" t="n">
        <f aca="false">'Operating Costs'!G27-'Operating Costs'!G21-'Operating Costs'!G22</f>
        <v>690</v>
      </c>
      <c r="H15" s="65" t="n">
        <f aca="false">'Operating Costs'!H27-'Operating Costs'!H21-'Operating Costs'!H22</f>
        <v>690</v>
      </c>
      <c r="I15" s="65" t="n">
        <f aca="false">'Operating Costs'!I27-'Operating Costs'!I21-'Operating Costs'!I22</f>
        <v>690</v>
      </c>
      <c r="J15" s="65" t="n">
        <f aca="false">'Operating Costs'!J27-'Operating Costs'!J21-'Operating Costs'!J22</f>
        <v>690</v>
      </c>
      <c r="K15" s="65" t="n">
        <f aca="false">'Operating Costs'!K27-'Operating Costs'!K21-'Operating Costs'!K22</f>
        <v>690</v>
      </c>
      <c r="L15" s="65" t="n">
        <f aca="false">'Operating Costs'!L27-'Operating Costs'!L21-'Operating Costs'!L22</f>
        <v>690</v>
      </c>
      <c r="M15" s="65" t="n">
        <f aca="false">'Operating Costs'!M27-'Operating Costs'!M21-'Operating Costs'!M22</f>
        <v>690</v>
      </c>
      <c r="N15" s="65" t="n">
        <f aca="false">'Operating Costs'!N27-'Operating Costs'!N21-'Operating Costs'!N22</f>
        <v>690</v>
      </c>
      <c r="O15" s="65" t="n">
        <f aca="false">'Operating Costs'!O27-'Operating Costs'!O21-'Operating Costs'!O22</f>
        <v>710.7</v>
      </c>
      <c r="P15" s="65" t="n">
        <f aca="false">'Operating Costs'!P27-'Operating Costs'!P21-'Operating Costs'!P22</f>
        <v>710.7</v>
      </c>
      <c r="Q15" s="65" t="n">
        <f aca="false">'Operating Costs'!Q27-'Operating Costs'!Q21-'Operating Costs'!Q22</f>
        <v>710.7</v>
      </c>
      <c r="R15" s="65" t="n">
        <f aca="false">'Operating Costs'!R27-'Operating Costs'!R21-'Operating Costs'!R22</f>
        <v>710.7</v>
      </c>
      <c r="S15" s="65" t="n">
        <f aca="false">'Operating Costs'!S27-'Operating Costs'!S21-'Operating Costs'!S22</f>
        <v>710.7</v>
      </c>
      <c r="T15" s="65" t="n">
        <f aca="false">'Operating Costs'!T27-'Operating Costs'!T21-'Operating Costs'!T22</f>
        <v>710.7</v>
      </c>
      <c r="U15" s="65" t="n">
        <f aca="false">'Operating Costs'!U27-'Operating Costs'!U21-'Operating Costs'!U22</f>
        <v>710.7</v>
      </c>
      <c r="V15" s="65" t="n">
        <f aca="false">'Operating Costs'!V27-'Operating Costs'!V21-'Operating Costs'!V22</f>
        <v>710.7</v>
      </c>
      <c r="W15" s="65" t="n">
        <f aca="false">'Operating Costs'!W27-'Operating Costs'!W21-'Operating Costs'!W22</f>
        <v>710.7</v>
      </c>
      <c r="X15" s="65" t="n">
        <f aca="false">'Operating Costs'!X27-'Operating Costs'!X21-'Operating Costs'!X22</f>
        <v>710.7</v>
      </c>
      <c r="Y15" s="65" t="n">
        <f aca="false">'Operating Costs'!Y27-'Operating Costs'!Y21-'Operating Costs'!Y22</f>
        <v>710.7</v>
      </c>
      <c r="Z15" s="65" t="n">
        <f aca="false">'Operating Costs'!Z27-'Operating Costs'!Z21-'Operating Costs'!Z22</f>
        <v>710.7</v>
      </c>
      <c r="AA15" s="65" t="n">
        <f aca="false">'Operating Costs'!AA27-'Operating Costs'!AA21-'Operating Costs'!AA22</f>
        <v>732.021</v>
      </c>
      <c r="AB15" s="65" t="n">
        <f aca="false">'Operating Costs'!AB27-'Operating Costs'!AB21-'Operating Costs'!AB22</f>
        <v>732.021</v>
      </c>
      <c r="AC15" s="65" t="n">
        <f aca="false">'Operating Costs'!AC27-'Operating Costs'!AC21-'Operating Costs'!AC22</f>
        <v>732.021</v>
      </c>
      <c r="AD15" s="65" t="n">
        <f aca="false">'Operating Costs'!AD27-'Operating Costs'!AD21-'Operating Costs'!AD22</f>
        <v>732.021</v>
      </c>
      <c r="AE15" s="65" t="n">
        <f aca="false">'Operating Costs'!AE27-'Operating Costs'!AE21-'Operating Costs'!AE22</f>
        <v>732.021</v>
      </c>
      <c r="AF15" s="65" t="n">
        <f aca="false">'Operating Costs'!AF27-'Operating Costs'!AF21-'Operating Costs'!AF22</f>
        <v>732.021</v>
      </c>
      <c r="AG15" s="65" t="n">
        <f aca="false">'Operating Costs'!AG27-'Operating Costs'!AG21-'Operating Costs'!AG22</f>
        <v>732.021</v>
      </c>
      <c r="AH15" s="65" t="n">
        <f aca="false">'Operating Costs'!AH27-'Operating Costs'!AH21-'Operating Costs'!AH22</f>
        <v>732.021</v>
      </c>
      <c r="AI15" s="65" t="n">
        <f aca="false">'Operating Costs'!AI27-'Operating Costs'!AI21-'Operating Costs'!AI22</f>
        <v>732.021</v>
      </c>
      <c r="AJ15" s="65" t="n">
        <f aca="false">'Operating Costs'!AJ27-'Operating Costs'!AJ21-'Operating Costs'!AJ22</f>
        <v>732.021</v>
      </c>
      <c r="AK15" s="65" t="n">
        <f aca="false">'Operating Costs'!AK27-'Operating Costs'!AK21-'Operating Costs'!AK22</f>
        <v>732.021</v>
      </c>
      <c r="AL15" s="65" t="n">
        <f aca="false">'Operating Costs'!AL27-'Operating Costs'!AL21-'Operating Costs'!AL22</f>
        <v>732.021</v>
      </c>
      <c r="AM15" s="50" t="n">
        <f aca="false">SUMIF($C$5:$AL$5,AM$5,$C15:$AL15)</f>
        <v>8280</v>
      </c>
      <c r="AN15" s="50" t="n">
        <f aca="false">SUMIF($C$5:$AL$5,AN$5,$C15:$AL15)</f>
        <v>8528.4</v>
      </c>
      <c r="AO15" s="50" t="n">
        <f aca="false">SUMIF($C$5:$AL$5,AO$5,$C15:$AL15)</f>
        <v>8784.252</v>
      </c>
    </row>
    <row r="16" customFormat="false" ht="15" hidden="false" customHeight="false" outlineLevel="0" collapsed="false">
      <c r="A16" s="10" t="s">
        <v>422</v>
      </c>
      <c r="B16" s="2"/>
      <c r="C16" s="65" t="n">
        <f aca="false">'Operating Costs'!C32</f>
        <v>0</v>
      </c>
      <c r="D16" s="65" t="n">
        <f aca="false">'Operating Costs'!D32</f>
        <v>0</v>
      </c>
      <c r="E16" s="65" t="n">
        <f aca="false">'Operating Costs'!E32</f>
        <v>0</v>
      </c>
      <c r="F16" s="65" t="n">
        <f aca="false">'Operating Costs'!F32</f>
        <v>0</v>
      </c>
      <c r="G16" s="65" t="n">
        <f aca="false">'Operating Costs'!G32</f>
        <v>0</v>
      </c>
      <c r="H16" s="65" t="n">
        <f aca="false">'Operating Costs'!H32</f>
        <v>0</v>
      </c>
      <c r="I16" s="65" t="n">
        <f aca="false">'Operating Costs'!I32</f>
        <v>0</v>
      </c>
      <c r="J16" s="65" t="n">
        <f aca="false">'Operating Costs'!J32</f>
        <v>0</v>
      </c>
      <c r="K16" s="65" t="n">
        <f aca="false">'Operating Costs'!K32</f>
        <v>0</v>
      </c>
      <c r="L16" s="65" t="n">
        <f aca="false">'Operating Costs'!L32</f>
        <v>0</v>
      </c>
      <c r="M16" s="65" t="n">
        <f aca="false">'Operating Costs'!M32</f>
        <v>0</v>
      </c>
      <c r="N16" s="65" t="n">
        <f aca="false">'Operating Costs'!N32</f>
        <v>0</v>
      </c>
      <c r="O16" s="65" t="n">
        <f aca="false">'Operating Costs'!O32</f>
        <v>0</v>
      </c>
      <c r="P16" s="65" t="n">
        <f aca="false">'Operating Costs'!P32</f>
        <v>0</v>
      </c>
      <c r="Q16" s="65" t="n">
        <f aca="false">'Operating Costs'!Q32</f>
        <v>0</v>
      </c>
      <c r="R16" s="65" t="n">
        <f aca="false">'Operating Costs'!R32</f>
        <v>0</v>
      </c>
      <c r="S16" s="65" t="n">
        <f aca="false">'Operating Costs'!S32</f>
        <v>0</v>
      </c>
      <c r="T16" s="65" t="n">
        <f aca="false">'Operating Costs'!T32</f>
        <v>0</v>
      </c>
      <c r="U16" s="65" t="n">
        <f aca="false">'Operating Costs'!U32</f>
        <v>0</v>
      </c>
      <c r="V16" s="65" t="n">
        <f aca="false">'Operating Costs'!V32</f>
        <v>0</v>
      </c>
      <c r="W16" s="65" t="n">
        <f aca="false">'Operating Costs'!W32</f>
        <v>0</v>
      </c>
      <c r="X16" s="65" t="n">
        <f aca="false">'Operating Costs'!X32</f>
        <v>0</v>
      </c>
      <c r="Y16" s="65" t="n">
        <f aca="false">'Operating Costs'!Y32</f>
        <v>0</v>
      </c>
      <c r="Z16" s="65" t="n">
        <f aca="false">'Operating Costs'!Z32</f>
        <v>0</v>
      </c>
      <c r="AA16" s="65" t="n">
        <f aca="false">'Operating Costs'!AA32</f>
        <v>0</v>
      </c>
      <c r="AB16" s="65" t="n">
        <f aca="false">'Operating Costs'!AB32</f>
        <v>0</v>
      </c>
      <c r="AC16" s="65" t="n">
        <f aca="false">'Operating Costs'!AC32</f>
        <v>0</v>
      </c>
      <c r="AD16" s="65" t="n">
        <f aca="false">'Operating Costs'!AD32</f>
        <v>0</v>
      </c>
      <c r="AE16" s="65" t="n">
        <f aca="false">'Operating Costs'!AE32</f>
        <v>0</v>
      </c>
      <c r="AF16" s="65" t="n">
        <f aca="false">'Operating Costs'!AF32</f>
        <v>0</v>
      </c>
      <c r="AG16" s="65" t="n">
        <f aca="false">'Operating Costs'!AG32</f>
        <v>0</v>
      </c>
      <c r="AH16" s="65" t="n">
        <f aca="false">'Operating Costs'!AH32</f>
        <v>0</v>
      </c>
      <c r="AI16" s="65" t="n">
        <f aca="false">'Operating Costs'!AI32</f>
        <v>0</v>
      </c>
      <c r="AJ16" s="65" t="n">
        <f aca="false">'Operating Costs'!AJ32</f>
        <v>0</v>
      </c>
      <c r="AK16" s="65" t="n">
        <f aca="false">'Operating Costs'!AK32</f>
        <v>0</v>
      </c>
      <c r="AL16" s="65" t="n">
        <f aca="false">'Operating Costs'!AL32</f>
        <v>0</v>
      </c>
      <c r="AM16" s="50" t="n">
        <f aca="false">SUMIF($C$5:$AL$5,AM$5,$C16:$AL16)</f>
        <v>0</v>
      </c>
      <c r="AN16" s="50" t="n">
        <f aca="false">SUMIF($C$5:$AL$5,AN$5,$C16:$AL16)</f>
        <v>0</v>
      </c>
      <c r="AO16" s="50" t="n">
        <f aca="false">SUMIF($C$5:$AL$5,AO$5,$C16:$AL16)</f>
        <v>0</v>
      </c>
    </row>
    <row r="17" customFormat="false" ht="15" hidden="false" customHeight="false" outlineLevel="0" collapsed="false">
      <c r="A17" s="42" t="s">
        <v>423</v>
      </c>
      <c r="B17" s="43"/>
      <c r="C17" s="51" t="n">
        <f aca="false">SUM(C10:C16)</f>
        <v>9853.13461538462</v>
      </c>
      <c r="D17" s="51" t="n">
        <f aca="false">SUM(D10:D16)</f>
        <v>12379.5961538462</v>
      </c>
      <c r="E17" s="51" t="n">
        <f aca="false">SUM(E10:E16)</f>
        <v>14274.4423076923</v>
      </c>
      <c r="F17" s="51" t="n">
        <f aca="false">SUM(F10:F16)</f>
        <v>14906.0576923077</v>
      </c>
      <c r="G17" s="51" t="n">
        <f aca="false">SUM(G10:G16)</f>
        <v>14906.0576923077</v>
      </c>
      <c r="H17" s="51" t="n">
        <f aca="false">SUM(H10:H16)</f>
        <v>14906.0576923077</v>
      </c>
      <c r="I17" s="51" t="n">
        <f aca="false">SUM(I10:I16)</f>
        <v>14906.0576923077</v>
      </c>
      <c r="J17" s="51" t="n">
        <f aca="false">SUM(J10:J16)</f>
        <v>14906.0576923077</v>
      </c>
      <c r="K17" s="51" t="n">
        <f aca="false">SUM(K10:K16)</f>
        <v>14906.0576923077</v>
      </c>
      <c r="L17" s="51" t="n">
        <f aca="false">SUM(L10:L16)</f>
        <v>14906.0576923077</v>
      </c>
      <c r="M17" s="51" t="n">
        <f aca="false">SUM(M10:M16)</f>
        <v>14906.0576923077</v>
      </c>
      <c r="N17" s="51" t="n">
        <f aca="false">SUM(N10:N16)</f>
        <v>14906.0576923077</v>
      </c>
      <c r="O17" s="51" t="n">
        <f aca="false">SUM(O10:O16)</f>
        <v>15054.9576923077</v>
      </c>
      <c r="P17" s="51" t="n">
        <f aca="false">SUM(P10:P16)</f>
        <v>15054.9576923077</v>
      </c>
      <c r="Q17" s="51" t="n">
        <f aca="false">SUM(Q10:Q16)</f>
        <v>15054.9576923077</v>
      </c>
      <c r="R17" s="51" t="n">
        <f aca="false">SUM(R10:R16)</f>
        <v>15054.9576923077</v>
      </c>
      <c r="S17" s="51" t="n">
        <f aca="false">SUM(S10:S16)</f>
        <v>15054.9576923077</v>
      </c>
      <c r="T17" s="51" t="n">
        <f aca="false">SUM(T10:T16)</f>
        <v>15054.9576923077</v>
      </c>
      <c r="U17" s="51" t="n">
        <f aca="false">SUM(U10:U16)</f>
        <v>15054.9576923077</v>
      </c>
      <c r="V17" s="51" t="n">
        <f aca="false">SUM(V10:V16)</f>
        <v>15054.9576923077</v>
      </c>
      <c r="W17" s="51" t="n">
        <f aca="false">SUM(W10:W16)</f>
        <v>15054.9576923077</v>
      </c>
      <c r="X17" s="51" t="n">
        <f aca="false">SUM(X10:X16)</f>
        <v>15054.9576923077</v>
      </c>
      <c r="Y17" s="51" t="n">
        <f aca="false">SUM(Y10:Y16)</f>
        <v>15054.9576923077</v>
      </c>
      <c r="Z17" s="51" t="n">
        <f aca="false">SUM(Z10:Z16)</f>
        <v>15054.9576923077</v>
      </c>
      <c r="AA17" s="51" t="n">
        <f aca="false">SUM(AA10:AA16)</f>
        <v>15208.3246923077</v>
      </c>
      <c r="AB17" s="51" t="n">
        <f aca="false">SUM(AB10:AB16)</f>
        <v>15208.3246923077</v>
      </c>
      <c r="AC17" s="51" t="n">
        <f aca="false">SUM(AC10:AC16)</f>
        <v>15208.3246923077</v>
      </c>
      <c r="AD17" s="51" t="n">
        <f aca="false">SUM(AD10:AD16)</f>
        <v>15208.3246923077</v>
      </c>
      <c r="AE17" s="51" t="n">
        <f aca="false">SUM(AE10:AE16)</f>
        <v>15208.3246923077</v>
      </c>
      <c r="AF17" s="51" t="n">
        <f aca="false">SUM(AF10:AF16)</f>
        <v>15208.3246923077</v>
      </c>
      <c r="AG17" s="51" t="n">
        <f aca="false">SUM(AG10:AG16)</f>
        <v>15208.3246923077</v>
      </c>
      <c r="AH17" s="51" t="n">
        <f aca="false">SUM(AH10:AH16)</f>
        <v>15208.3246923077</v>
      </c>
      <c r="AI17" s="51" t="n">
        <f aca="false">SUM(AI10:AI16)</f>
        <v>15208.3246923077</v>
      </c>
      <c r="AJ17" s="51" t="n">
        <f aca="false">SUM(AJ10:AJ16)</f>
        <v>15208.3246923077</v>
      </c>
      <c r="AK17" s="51" t="n">
        <f aca="false">SUM(AK10:AK16)</f>
        <v>15208.3246923077</v>
      </c>
      <c r="AL17" s="51" t="n">
        <f aca="false">SUM(AL10:AL16)</f>
        <v>15208.3246923077</v>
      </c>
      <c r="AM17" s="52" t="n">
        <f aca="false">SUMIF($C$5:$AL$5,AM$5,$C17:$AL17)</f>
        <v>170661.692307692</v>
      </c>
      <c r="AN17" s="52" t="n">
        <f aca="false">SUMIF($C$5:$AL$5,AN$5,$C17:$AL17)</f>
        <v>180659.492307692</v>
      </c>
      <c r="AO17" s="52" t="n">
        <f aca="false">SUMIF($C$5:$AL$5,AO$5,$C17:$AL17)</f>
        <v>182499.896307692</v>
      </c>
    </row>
    <row r="19" customFormat="false" ht="15" hidden="false" customHeight="false" outlineLevel="0" collapsed="false">
      <c r="A19" s="42" t="s">
        <v>424</v>
      </c>
      <c r="B19" s="43"/>
      <c r="C19" s="51" t="n">
        <f aca="false">C7-C17</f>
        <v>4006.86538461538</v>
      </c>
      <c r="D19" s="51" t="n">
        <f aca="false">D7-D17</f>
        <v>6100.40384615385</v>
      </c>
      <c r="E19" s="51" t="n">
        <f aca="false">E7-E17</f>
        <v>7670.55769230769</v>
      </c>
      <c r="F19" s="51" t="n">
        <f aca="false">F7-F17</f>
        <v>8193.94230769231</v>
      </c>
      <c r="G19" s="51" t="n">
        <f aca="false">G7-G17</f>
        <v>8193.94230769231</v>
      </c>
      <c r="H19" s="51" t="n">
        <f aca="false">H7-H17</f>
        <v>8193.94230769231</v>
      </c>
      <c r="I19" s="51" t="n">
        <f aca="false">I7-I17</f>
        <v>8193.94230769231</v>
      </c>
      <c r="J19" s="51" t="n">
        <f aca="false">J7-J17</f>
        <v>8193.94230769231</v>
      </c>
      <c r="K19" s="51" t="n">
        <f aca="false">K7-K17</f>
        <v>8193.94230769231</v>
      </c>
      <c r="L19" s="51" t="n">
        <f aca="false">L7-L17</f>
        <v>8193.94230769231</v>
      </c>
      <c r="M19" s="51" t="n">
        <f aca="false">M7-M17</f>
        <v>8193.94230769231</v>
      </c>
      <c r="N19" s="51" t="n">
        <f aca="false">N7-N17</f>
        <v>8193.94230769231</v>
      </c>
      <c r="O19" s="51" t="n">
        <f aca="false">O7-O17</f>
        <v>8507.04230769231</v>
      </c>
      <c r="P19" s="51" t="n">
        <f aca="false">P7-P17</f>
        <v>8507.04230769231</v>
      </c>
      <c r="Q19" s="51" t="n">
        <f aca="false">Q7-Q17</f>
        <v>8507.04230769231</v>
      </c>
      <c r="R19" s="51" t="n">
        <f aca="false">R7-R17</f>
        <v>8507.04230769231</v>
      </c>
      <c r="S19" s="51" t="n">
        <f aca="false">S7-S17</f>
        <v>8507.04230769231</v>
      </c>
      <c r="T19" s="51" t="n">
        <f aca="false">T7-T17</f>
        <v>8507.04230769231</v>
      </c>
      <c r="U19" s="51" t="n">
        <f aca="false">U7-U17</f>
        <v>8507.04230769231</v>
      </c>
      <c r="V19" s="51" t="n">
        <f aca="false">V7-V17</f>
        <v>8507.04230769231</v>
      </c>
      <c r="W19" s="51" t="n">
        <f aca="false">W7-W17</f>
        <v>8507.04230769231</v>
      </c>
      <c r="X19" s="51" t="n">
        <f aca="false">X7-X17</f>
        <v>8507.04230769231</v>
      </c>
      <c r="Y19" s="51" t="n">
        <f aca="false">Y7-Y17</f>
        <v>8507.04230769231</v>
      </c>
      <c r="Z19" s="51" t="n">
        <f aca="false">Z7-Z17</f>
        <v>8507.04230769231</v>
      </c>
      <c r="AA19" s="51" t="n">
        <f aca="false">AA7-AA17</f>
        <v>8824.91530769231</v>
      </c>
      <c r="AB19" s="51" t="n">
        <f aca="false">AB7-AB17</f>
        <v>8824.91530769231</v>
      </c>
      <c r="AC19" s="51" t="n">
        <f aca="false">AC7-AC17</f>
        <v>8824.91530769231</v>
      </c>
      <c r="AD19" s="51" t="n">
        <f aca="false">AD7-AD17</f>
        <v>8824.91530769231</v>
      </c>
      <c r="AE19" s="51" t="n">
        <f aca="false">AE7-AE17</f>
        <v>8824.91530769231</v>
      </c>
      <c r="AF19" s="51" t="n">
        <f aca="false">AF7-AF17</f>
        <v>8824.91530769231</v>
      </c>
      <c r="AG19" s="51" t="n">
        <f aca="false">AG7-AG17</f>
        <v>8824.91530769231</v>
      </c>
      <c r="AH19" s="51" t="n">
        <f aca="false">AH7-AH17</f>
        <v>8824.91530769231</v>
      </c>
      <c r="AI19" s="51" t="n">
        <f aca="false">AI7-AI17</f>
        <v>8824.91530769231</v>
      </c>
      <c r="AJ19" s="51" t="n">
        <f aca="false">AJ7-AJ17</f>
        <v>8824.91530769231</v>
      </c>
      <c r="AK19" s="51" t="n">
        <f aca="false">AK7-AK17</f>
        <v>8824.91530769231</v>
      </c>
      <c r="AL19" s="51" t="n">
        <f aca="false">AL7-AL17</f>
        <v>8824.91530769231</v>
      </c>
      <c r="AM19" s="52" t="n">
        <f aca="false">SUMIF($C$5:$AL$5,AM$5,$C19:$AL19)</f>
        <v>91523.3076923077</v>
      </c>
      <c r="AN19" s="52" t="n">
        <f aca="false">SUMIF($C$5:$AL$5,AN$5,$C19:$AL19)</f>
        <v>102084.507692308</v>
      </c>
      <c r="AO19" s="52" t="n">
        <f aca="false">SUMIF($C$5:$AL$5,AO$5,$C19:$AL19)</f>
        <v>105898.983692308</v>
      </c>
    </row>
    <row r="20" customFormat="false" ht="15" hidden="false" customHeight="false" outlineLevel="0" collapsed="false">
      <c r="A20" s="10" t="s">
        <v>425</v>
      </c>
      <c r="B20" s="2"/>
      <c r="C20" s="31" t="n">
        <f aca="false">Assumptions!$C$147</f>
        <v>1600</v>
      </c>
      <c r="D20" s="31" t="n">
        <f aca="false">Assumptions!$C$147</f>
        <v>1600</v>
      </c>
      <c r="E20" s="31" t="n">
        <f aca="false">Assumptions!$C$147</f>
        <v>1600</v>
      </c>
      <c r="F20" s="31" t="n">
        <f aca="false">Assumptions!$C$147</f>
        <v>1600</v>
      </c>
      <c r="G20" s="31" t="n">
        <f aca="false">Assumptions!$C$147</f>
        <v>1600</v>
      </c>
      <c r="H20" s="31" t="n">
        <f aca="false">Assumptions!$C$147</f>
        <v>1600</v>
      </c>
      <c r="I20" s="31" t="n">
        <f aca="false">Assumptions!$C$147</f>
        <v>1600</v>
      </c>
      <c r="J20" s="31" t="n">
        <f aca="false">Assumptions!$C$147</f>
        <v>1600</v>
      </c>
      <c r="K20" s="31" t="n">
        <f aca="false">Assumptions!$C$147</f>
        <v>1600</v>
      </c>
      <c r="L20" s="31" t="n">
        <f aca="false">Assumptions!$C$147</f>
        <v>1600</v>
      </c>
      <c r="M20" s="31" t="n">
        <f aca="false">Assumptions!$C$147</f>
        <v>1600</v>
      </c>
      <c r="N20" s="31" t="n">
        <f aca="false">Assumptions!$C$147</f>
        <v>1600</v>
      </c>
      <c r="O20" s="31" t="n">
        <f aca="false">Assumptions!$C$147</f>
        <v>1600</v>
      </c>
      <c r="P20" s="31" t="n">
        <f aca="false">Assumptions!$C$147</f>
        <v>1600</v>
      </c>
      <c r="Q20" s="31" t="n">
        <f aca="false">Assumptions!$C$147</f>
        <v>1600</v>
      </c>
      <c r="R20" s="31" t="n">
        <f aca="false">Assumptions!$C$147</f>
        <v>1600</v>
      </c>
      <c r="S20" s="31" t="n">
        <f aca="false">Assumptions!$C$147</f>
        <v>1600</v>
      </c>
      <c r="T20" s="31" t="n">
        <f aca="false">Assumptions!$C$147</f>
        <v>1600</v>
      </c>
      <c r="U20" s="31" t="n">
        <f aca="false">Assumptions!$C$147</f>
        <v>1600</v>
      </c>
      <c r="V20" s="31" t="n">
        <f aca="false">Assumptions!$C$147</f>
        <v>1600</v>
      </c>
      <c r="W20" s="31" t="n">
        <f aca="false">Assumptions!$C$147</f>
        <v>1600</v>
      </c>
      <c r="X20" s="31" t="n">
        <f aca="false">Assumptions!$C$147</f>
        <v>1600</v>
      </c>
      <c r="Y20" s="31" t="n">
        <f aca="false">Assumptions!$C$147</f>
        <v>1600</v>
      </c>
      <c r="Z20" s="31" t="n">
        <f aca="false">Assumptions!$C$147</f>
        <v>1600</v>
      </c>
      <c r="AA20" s="31" t="n">
        <f aca="false">Assumptions!$C$147</f>
        <v>1600</v>
      </c>
      <c r="AB20" s="31" t="n">
        <f aca="false">Assumptions!$C$147</f>
        <v>1600</v>
      </c>
      <c r="AC20" s="31" t="n">
        <f aca="false">Assumptions!$C$147</f>
        <v>1600</v>
      </c>
      <c r="AD20" s="31" t="n">
        <f aca="false">Assumptions!$C$147</f>
        <v>1600</v>
      </c>
      <c r="AE20" s="31" t="n">
        <f aca="false">Assumptions!$C$147</f>
        <v>1600</v>
      </c>
      <c r="AF20" s="31" t="n">
        <f aca="false">Assumptions!$C$147</f>
        <v>1600</v>
      </c>
      <c r="AG20" s="31" t="n">
        <f aca="false">Assumptions!$C$147</f>
        <v>1600</v>
      </c>
      <c r="AH20" s="31" t="n">
        <f aca="false">Assumptions!$C$147</f>
        <v>1600</v>
      </c>
      <c r="AI20" s="31" t="n">
        <f aca="false">Assumptions!$C$147</f>
        <v>1600</v>
      </c>
      <c r="AJ20" s="31" t="n">
        <f aca="false">Assumptions!$C$147</f>
        <v>1600</v>
      </c>
      <c r="AK20" s="31" t="n">
        <f aca="false">Assumptions!$C$147</f>
        <v>1600</v>
      </c>
      <c r="AL20" s="31" t="n">
        <f aca="false">Assumptions!$C$147</f>
        <v>1600</v>
      </c>
      <c r="AM20" s="50" t="n">
        <f aca="false">SUMIF($C$5:$AL$5,AM$5,$C20:$AL20)</f>
        <v>19200</v>
      </c>
      <c r="AN20" s="50" t="n">
        <f aca="false">SUMIF($C$5:$AL$5,AN$5,$C20:$AL20)</f>
        <v>19200</v>
      </c>
      <c r="AO20" s="50" t="n">
        <f aca="false">SUMIF($C$5:$AL$5,AO$5,$C20:$AL20)</f>
        <v>19200</v>
      </c>
    </row>
    <row r="21" customFormat="false" ht="15" hidden="false" customHeight="false" outlineLevel="0" collapsed="false">
      <c r="A21" s="10" t="s">
        <v>426</v>
      </c>
      <c r="B21" s="2"/>
      <c r="C21" s="65" t="n">
        <f aca="false">INDEX(Loan!$E$15:$E$134,C4)+INDEX(Loan!$L$15:$L$134,C4)</f>
        <v>988.125</v>
      </c>
      <c r="D21" s="65" t="n">
        <f aca="false">INDEX(Loan!$E$15:$E$134,D4)+INDEX(Loan!$L$15:$L$134,D4)</f>
        <v>975.614796031213</v>
      </c>
      <c r="E21" s="65" t="n">
        <f aca="false">INDEX(Loan!$E$15:$E$134,E4)+INDEX(Loan!$L$15:$L$134,E4)</f>
        <v>962.992583129611</v>
      </c>
      <c r="F21" s="65" t="n">
        <f aca="false">INDEX(Loan!$E$15:$E$134,F4)+INDEX(Loan!$L$15:$L$134,F4)</f>
        <v>950.257356779452</v>
      </c>
      <c r="G21" s="65" t="n">
        <f aca="false">INDEX(Loan!$E$15:$E$134,G4)+INDEX(Loan!$L$15:$L$134,G4)</f>
        <v>937.408103442203</v>
      </c>
      <c r="H21" s="65" t="n">
        <f aca="false">INDEX(Loan!$E$15:$E$134,H4)+INDEX(Loan!$L$15:$L$134,H4)</f>
        <v>924.443800475383</v>
      </c>
      <c r="I21" s="65" t="n">
        <f aca="false">INDEX(Loan!$E$15:$E$134,I4)+INDEX(Loan!$L$15:$L$134,I4)</f>
        <v>911.363416050658</v>
      </c>
      <c r="J21" s="65" t="n">
        <f aca="false">INDEX(Loan!$E$15:$E$134,J4)+INDEX(Loan!$L$15:$L$134,J4)</f>
        <v>898.165909071214</v>
      </c>
      <c r="K21" s="65" t="n">
        <f aca="false">INDEX(Loan!$E$15:$E$134,K4)+INDEX(Loan!$L$15:$L$134,K4)</f>
        <v>884.850229088377</v>
      </c>
      <c r="L21" s="65" t="n">
        <f aca="false">INDEX(Loan!$E$15:$E$134,L4)+INDEX(Loan!$L$15:$L$134,L4)</f>
        <v>871.41531621748</v>
      </c>
      <c r="M21" s="65" t="n">
        <f aca="false">INDEX(Loan!$E$15:$E$134,M4)+INDEX(Loan!$L$15:$L$134,M4)</f>
        <v>857.860101052983</v>
      </c>
      <c r="N21" s="65" t="n">
        <f aca="false">INDEX(Loan!$E$15:$E$134,N4)+INDEX(Loan!$L$15:$L$134,N4)</f>
        <v>844.183504582812</v>
      </c>
      <c r="O21" s="65" t="n">
        <f aca="false">INDEX(Loan!$E$15:$E$134,O4)+INDEX(Loan!$L$15:$L$134,O4)</f>
        <v>830.384438101944</v>
      </c>
      <c r="P21" s="65" t="n">
        <f aca="false">INDEX(Loan!$E$15:$E$134,P4)+INDEX(Loan!$L$15:$L$134,P4)</f>
        <v>816.461803125201</v>
      </c>
      <c r="Q21" s="65" t="n">
        <f aca="false">INDEX(Loan!$E$15:$E$134,Q4)+INDEX(Loan!$L$15:$L$134,Q4)</f>
        <v>802.414491299259</v>
      </c>
      <c r="R21" s="65" t="n">
        <f aca="false">INDEX(Loan!$E$15:$E$134,R4)+INDEX(Loan!$L$15:$L$134,R4)</f>
        <v>788.241384313875</v>
      </c>
      <c r="S21" s="65" t="n">
        <f aca="false">INDEX(Loan!$E$15:$E$134,S4)+INDEX(Loan!$L$15:$L$134,S4)</f>
        <v>773.941353812301</v>
      </c>
      <c r="T21" s="65" t="n">
        <f aca="false">INDEX(Loan!$E$15:$E$134,T4)+INDEX(Loan!$L$15:$L$134,T4)</f>
        <v>759.513261300897</v>
      </c>
      <c r="U21" s="65" t="n">
        <f aca="false">INDEX(Loan!$E$15:$E$134,U4)+INDEX(Loan!$L$15:$L$134,U4)</f>
        <v>744.955958057934</v>
      </c>
      <c r="V21" s="65" t="n">
        <f aca="false">INDEX(Loan!$E$15:$E$134,V4)+INDEX(Loan!$L$15:$L$134,V4)</f>
        <v>730.268285041564</v>
      </c>
      <c r="W21" s="65" t="n">
        <f aca="false">INDEX(Loan!$E$15:$E$134,W4)+INDEX(Loan!$L$15:$L$134,W4)</f>
        <v>715.449072796972</v>
      </c>
      <c r="X21" s="65" t="n">
        <f aca="false">INDEX(Loan!$E$15:$E$134,X4)+INDEX(Loan!$L$15:$L$134,X4)</f>
        <v>700.497141362688</v>
      </c>
      <c r="Y21" s="65" t="n">
        <f aca="false">INDEX(Loan!$E$15:$E$134,Y4)+INDEX(Loan!$L$15:$L$134,Y4)</f>
        <v>685.411300176049</v>
      </c>
      <c r="Z21" s="65" t="n">
        <f aca="false">INDEX(Loan!$E$15:$E$134,Z4)+INDEX(Loan!$L$15:$L$134,Z4)</f>
        <v>670.190347977818</v>
      </c>
      <c r="AA21" s="65" t="n">
        <f aca="false">INDEX(Loan!$E$15:$E$134,AA4)+INDEX(Loan!$L$15:$L$134,AA4)</f>
        <v>654.833072715937</v>
      </c>
      <c r="AB21" s="65" t="n">
        <f aca="false">INDEX(Loan!$E$15:$E$134,AB4)+INDEX(Loan!$L$15:$L$134,AB4)</f>
        <v>639.338251448421</v>
      </c>
      <c r="AC21" s="65" t="n">
        <f aca="false">INDEX(Loan!$E$15:$E$134,AC4)+INDEX(Loan!$L$15:$L$134,AC4)</f>
        <v>623.704650245362</v>
      </c>
      <c r="AD21" s="65" t="n">
        <f aca="false">INDEX(Loan!$E$15:$E$134,AD4)+INDEX(Loan!$L$15:$L$134,AD4)</f>
        <v>607.93102409007</v>
      </c>
      <c r="AE21" s="65" t="n">
        <f aca="false">INDEX(Loan!$E$15:$E$134,AE4)+INDEX(Loan!$L$15:$L$134,AE4)</f>
        <v>592.016116779307</v>
      </c>
      <c r="AF21" s="65" t="n">
        <f aca="false">INDEX(Loan!$E$15:$E$134,AF4)+INDEX(Loan!$L$15:$L$134,AF4)</f>
        <v>575.958660822626</v>
      </c>
      <c r="AG21" s="65" t="n">
        <f aca="false">INDEX(Loan!$E$15:$E$134,AG4)+INDEX(Loan!$L$15:$L$134,AG4)</f>
        <v>559.75737734081</v>
      </c>
      <c r="AH21" s="65" t="n">
        <f aca="false">INDEX(Loan!$E$15:$E$134,AH4)+INDEX(Loan!$L$15:$L$134,AH4)</f>
        <v>543.410975963389</v>
      </c>
      <c r="AI21" s="65" t="n">
        <f aca="false">INDEX(Loan!$E$15:$E$134,AI4)+INDEX(Loan!$L$15:$L$134,AI4)</f>
        <v>526.918154725233</v>
      </c>
      <c r="AJ21" s="65" t="n">
        <f aca="false">INDEX(Loan!$E$15:$E$134,AJ4)+INDEX(Loan!$L$15:$L$134,AJ4)</f>
        <v>510.277599962218</v>
      </c>
      <c r="AK21" s="65" t="n">
        <f aca="false">INDEX(Loan!$E$15:$E$134,AK4)+INDEX(Loan!$L$15:$L$134,AK4)</f>
        <v>493.487986205948</v>
      </c>
      <c r="AL21" s="65" t="n">
        <f aca="false">INDEX(Loan!$E$15:$E$134,AL4)+INDEX(Loan!$L$15:$L$134,AL4)</f>
        <v>476.54797607753</v>
      </c>
      <c r="AM21" s="50" t="n">
        <f aca="false">SUMIF($C$5:$AL$5,AM$5,$C21:$AL21)</f>
        <v>11006.6801159214</v>
      </c>
      <c r="AN21" s="50" t="n">
        <f aca="false">SUMIF($C$5:$AL$5,AN$5,$C21:$AL21)</f>
        <v>9017.7288373665</v>
      </c>
      <c r="AO21" s="50" t="n">
        <f aca="false">SUMIF($C$5:$AL$5,AO$5,$C21:$AL21)</f>
        <v>6804.18184637685</v>
      </c>
    </row>
    <row r="22" customFormat="false" ht="15" hidden="false" customHeight="false" outlineLevel="0" collapsed="false">
      <c r="A22" s="42" t="s">
        <v>427</v>
      </c>
      <c r="B22" s="43"/>
      <c r="C22" s="51" t="n">
        <f aca="false">C19-C20-C21</f>
        <v>1418.74038461538</v>
      </c>
      <c r="D22" s="51" t="n">
        <f aca="false">D19-D20-D21</f>
        <v>3524.78905012263</v>
      </c>
      <c r="E22" s="51" t="n">
        <f aca="false">E19-E20-E21</f>
        <v>5107.56510917808</v>
      </c>
      <c r="F22" s="51" t="n">
        <f aca="false">F19-F20-F21</f>
        <v>5643.68495091286</v>
      </c>
      <c r="G22" s="51" t="n">
        <f aca="false">G19-G20-G21</f>
        <v>5656.5342042501</v>
      </c>
      <c r="H22" s="51" t="n">
        <f aca="false">H19-H20-H21</f>
        <v>5669.49850721692</v>
      </c>
      <c r="I22" s="51" t="n">
        <f aca="false">I19-I20-I21</f>
        <v>5682.57889164165</v>
      </c>
      <c r="J22" s="51" t="n">
        <f aca="false">J19-J20-J21</f>
        <v>5695.77639862109</v>
      </c>
      <c r="K22" s="51" t="n">
        <f aca="false">K19-K20-K21</f>
        <v>5709.09207860393</v>
      </c>
      <c r="L22" s="51" t="n">
        <f aca="false">L19-L20-L21</f>
        <v>5722.52699147483</v>
      </c>
      <c r="M22" s="51" t="n">
        <f aca="false">M19-M20-M21</f>
        <v>5736.08220663932</v>
      </c>
      <c r="N22" s="51" t="n">
        <f aca="false">N19-N20-N21</f>
        <v>5749.7588031095</v>
      </c>
      <c r="O22" s="51" t="n">
        <f aca="false">O19-O20-O21</f>
        <v>6076.65786959036</v>
      </c>
      <c r="P22" s="51" t="n">
        <f aca="false">P19-P20-P21</f>
        <v>6090.58050456711</v>
      </c>
      <c r="Q22" s="51" t="n">
        <f aca="false">Q19-Q20-Q21</f>
        <v>6104.62781639305</v>
      </c>
      <c r="R22" s="51" t="n">
        <f aca="false">R19-R20-R21</f>
        <v>6118.80092337843</v>
      </c>
      <c r="S22" s="51" t="n">
        <f aca="false">S19-S20-S21</f>
        <v>6133.10095388</v>
      </c>
      <c r="T22" s="51" t="n">
        <f aca="false">T19-T20-T21</f>
        <v>6147.52904639141</v>
      </c>
      <c r="U22" s="51" t="n">
        <f aca="false">U19-U20-U21</f>
        <v>6162.08634963437</v>
      </c>
      <c r="V22" s="51" t="n">
        <f aca="false">V19-V20-V21</f>
        <v>6176.77402265074</v>
      </c>
      <c r="W22" s="51" t="n">
        <f aca="false">W19-W20-W21</f>
        <v>6191.59323489533</v>
      </c>
      <c r="X22" s="51" t="n">
        <f aca="false">X19-X20-X21</f>
        <v>6206.54516632962</v>
      </c>
      <c r="Y22" s="51" t="n">
        <f aca="false">Y19-Y20-Y21</f>
        <v>6221.63100751626</v>
      </c>
      <c r="Z22" s="51" t="n">
        <f aca="false">Z19-Z20-Z21</f>
        <v>6236.85195971449</v>
      </c>
      <c r="AA22" s="51" t="n">
        <f aca="false">AA19-AA20-AA21</f>
        <v>6570.08223497637</v>
      </c>
      <c r="AB22" s="51" t="n">
        <f aca="false">AB19-AB20-AB21</f>
        <v>6585.57705624389</v>
      </c>
      <c r="AC22" s="51" t="n">
        <f aca="false">AC19-AC20-AC21</f>
        <v>6601.21065744695</v>
      </c>
      <c r="AD22" s="51" t="n">
        <f aca="false">AD19-AD20-AD21</f>
        <v>6616.98428360224</v>
      </c>
      <c r="AE22" s="51" t="n">
        <f aca="false">AE19-AE20-AE21</f>
        <v>6632.899190913</v>
      </c>
      <c r="AF22" s="51" t="n">
        <f aca="false">AF19-AF20-AF21</f>
        <v>6648.95664686969</v>
      </c>
      <c r="AG22" s="51" t="n">
        <f aca="false">AG19-AG20-AG21</f>
        <v>6665.1579303515</v>
      </c>
      <c r="AH22" s="51" t="n">
        <f aca="false">AH19-AH20-AH21</f>
        <v>6681.50433172892</v>
      </c>
      <c r="AI22" s="51" t="n">
        <f aca="false">AI19-AI20-AI21</f>
        <v>6697.99715296708</v>
      </c>
      <c r="AJ22" s="51" t="n">
        <f aca="false">AJ19-AJ20-AJ21</f>
        <v>6714.63770773009</v>
      </c>
      <c r="AK22" s="51" t="n">
        <f aca="false">AK19-AK20-AK21</f>
        <v>6731.42732148636</v>
      </c>
      <c r="AL22" s="51" t="n">
        <f aca="false">AL19-AL20-AL21</f>
        <v>6748.36733161478</v>
      </c>
      <c r="AM22" s="52" t="n">
        <f aca="false">SUMIF($C$5:$AL$5,AM$5,$C22:$AL22)</f>
        <v>61316.6275763863</v>
      </c>
      <c r="AN22" s="52" t="n">
        <f aca="false">SUMIF($C$5:$AL$5,AN$5,$C22:$AL22)</f>
        <v>73866.7788549412</v>
      </c>
      <c r="AO22" s="52" t="n">
        <f aca="false">SUMIF($C$5:$AL$5,AO$5,$C22:$AL22)</f>
        <v>79894.8018459309</v>
      </c>
    </row>
    <row r="23" customFormat="false" ht="15" hidden="false" customHeight="false" outlineLevel="0" collapsed="false">
      <c r="A23" s="10" t="s">
        <v>428</v>
      </c>
      <c r="B23" s="2"/>
      <c r="C23" s="31" t="n">
        <f aca="false">MAX(0,C22)*Assumptions!$C$100</f>
        <v>0</v>
      </c>
      <c r="D23" s="31" t="n">
        <f aca="false">MAX(0,D22)*Assumptions!$C$100</f>
        <v>0</v>
      </c>
      <c r="E23" s="31" t="n">
        <f aca="false">MAX(0,E22)*Assumptions!$C$100</f>
        <v>0</v>
      </c>
      <c r="F23" s="31" t="n">
        <f aca="false">MAX(0,F22)*Assumptions!$C$100</f>
        <v>0</v>
      </c>
      <c r="G23" s="31" t="n">
        <f aca="false">MAX(0,G22)*Assumptions!$C$100</f>
        <v>0</v>
      </c>
      <c r="H23" s="31" t="n">
        <f aca="false">MAX(0,H22)*Assumptions!$C$100</f>
        <v>0</v>
      </c>
      <c r="I23" s="31" t="n">
        <f aca="false">MAX(0,I22)*Assumptions!$C$100</f>
        <v>0</v>
      </c>
      <c r="J23" s="31" t="n">
        <f aca="false">MAX(0,J22)*Assumptions!$C$100</f>
        <v>0</v>
      </c>
      <c r="K23" s="31" t="n">
        <f aca="false">MAX(0,K22)*Assumptions!$C$100</f>
        <v>0</v>
      </c>
      <c r="L23" s="31" t="n">
        <f aca="false">MAX(0,L22)*Assumptions!$C$100</f>
        <v>0</v>
      </c>
      <c r="M23" s="31" t="n">
        <f aca="false">MAX(0,M22)*Assumptions!$C$100</f>
        <v>0</v>
      </c>
      <c r="N23" s="31" t="n">
        <f aca="false">MAX(0,N22)*Assumptions!$C$100</f>
        <v>0</v>
      </c>
      <c r="O23" s="31" t="n">
        <f aca="false">MAX(0,O22)*Assumptions!$C$100</f>
        <v>0</v>
      </c>
      <c r="P23" s="31" t="n">
        <f aca="false">MAX(0,P22)*Assumptions!$C$100</f>
        <v>0</v>
      </c>
      <c r="Q23" s="31" t="n">
        <f aca="false">MAX(0,Q22)*Assumptions!$C$100</f>
        <v>0</v>
      </c>
      <c r="R23" s="31" t="n">
        <f aca="false">MAX(0,R22)*Assumptions!$C$100</f>
        <v>0</v>
      </c>
      <c r="S23" s="31" t="n">
        <f aca="false">MAX(0,S22)*Assumptions!$C$100</f>
        <v>0</v>
      </c>
      <c r="T23" s="31" t="n">
        <f aca="false">MAX(0,T22)*Assumptions!$C$100</f>
        <v>0</v>
      </c>
      <c r="U23" s="31" t="n">
        <f aca="false">MAX(0,U22)*Assumptions!$C$100</f>
        <v>0</v>
      </c>
      <c r="V23" s="31" t="n">
        <f aca="false">MAX(0,V22)*Assumptions!$C$100</f>
        <v>0</v>
      </c>
      <c r="W23" s="31" t="n">
        <f aca="false">MAX(0,W22)*Assumptions!$C$100</f>
        <v>0</v>
      </c>
      <c r="X23" s="31" t="n">
        <f aca="false">MAX(0,X22)*Assumptions!$C$100</f>
        <v>0</v>
      </c>
      <c r="Y23" s="31" t="n">
        <f aca="false">MAX(0,Y22)*Assumptions!$C$100</f>
        <v>0</v>
      </c>
      <c r="Z23" s="31" t="n">
        <f aca="false">MAX(0,Z22)*Assumptions!$C$100</f>
        <v>0</v>
      </c>
      <c r="AA23" s="31" t="n">
        <f aca="false">MAX(0,AA22)*Assumptions!$C$100</f>
        <v>0</v>
      </c>
      <c r="AB23" s="31" t="n">
        <f aca="false">MAX(0,AB22)*Assumptions!$C$100</f>
        <v>0</v>
      </c>
      <c r="AC23" s="31" t="n">
        <f aca="false">MAX(0,AC22)*Assumptions!$C$100</f>
        <v>0</v>
      </c>
      <c r="AD23" s="31" t="n">
        <f aca="false">MAX(0,AD22)*Assumptions!$C$100</f>
        <v>0</v>
      </c>
      <c r="AE23" s="31" t="n">
        <f aca="false">MAX(0,AE22)*Assumptions!$C$100</f>
        <v>0</v>
      </c>
      <c r="AF23" s="31" t="n">
        <f aca="false">MAX(0,AF22)*Assumptions!$C$100</f>
        <v>0</v>
      </c>
      <c r="AG23" s="31" t="n">
        <f aca="false">MAX(0,AG22)*Assumptions!$C$100</f>
        <v>0</v>
      </c>
      <c r="AH23" s="31" t="n">
        <f aca="false">MAX(0,AH22)*Assumptions!$C$100</f>
        <v>0</v>
      </c>
      <c r="AI23" s="31" t="n">
        <f aca="false">MAX(0,AI22)*Assumptions!$C$100</f>
        <v>0</v>
      </c>
      <c r="AJ23" s="31" t="n">
        <f aca="false">MAX(0,AJ22)*Assumptions!$C$100</f>
        <v>0</v>
      </c>
      <c r="AK23" s="31" t="n">
        <f aca="false">MAX(0,AK22)*Assumptions!$C$100</f>
        <v>0</v>
      </c>
      <c r="AL23" s="31" t="n">
        <f aca="false">MAX(0,AL22)*Assumptions!$C$100</f>
        <v>0</v>
      </c>
      <c r="AM23" s="50" t="n">
        <f aca="false">SUMIF($C$5:$AL$5,AM$5,$C23:$AL23)</f>
        <v>0</v>
      </c>
      <c r="AN23" s="50" t="n">
        <f aca="false">SUMIF($C$5:$AL$5,AN$5,$C23:$AL23)</f>
        <v>0</v>
      </c>
      <c r="AO23" s="50" t="n">
        <f aca="false">SUMIF($C$5:$AL$5,AO$5,$C23:$AL23)</f>
        <v>0</v>
      </c>
    </row>
    <row r="24" customFormat="false" ht="15" hidden="false" customHeight="false" outlineLevel="0" collapsed="false">
      <c r="A24" s="42" t="s">
        <v>429</v>
      </c>
      <c r="B24" s="43"/>
      <c r="C24" s="51" t="n">
        <f aca="false">C22-C23</f>
        <v>1418.74038461538</v>
      </c>
      <c r="D24" s="51" t="n">
        <f aca="false">D22-D23</f>
        <v>3524.78905012263</v>
      </c>
      <c r="E24" s="51" t="n">
        <f aca="false">E22-E23</f>
        <v>5107.56510917808</v>
      </c>
      <c r="F24" s="51" t="n">
        <f aca="false">F22-F23</f>
        <v>5643.68495091286</v>
      </c>
      <c r="G24" s="51" t="n">
        <f aca="false">G22-G23</f>
        <v>5656.5342042501</v>
      </c>
      <c r="H24" s="51" t="n">
        <f aca="false">H22-H23</f>
        <v>5669.49850721692</v>
      </c>
      <c r="I24" s="51" t="n">
        <f aca="false">I22-I23</f>
        <v>5682.57889164165</v>
      </c>
      <c r="J24" s="51" t="n">
        <f aca="false">J22-J23</f>
        <v>5695.77639862109</v>
      </c>
      <c r="K24" s="51" t="n">
        <f aca="false">K22-K23</f>
        <v>5709.09207860393</v>
      </c>
      <c r="L24" s="51" t="n">
        <f aca="false">L22-L23</f>
        <v>5722.52699147483</v>
      </c>
      <c r="M24" s="51" t="n">
        <f aca="false">M22-M23</f>
        <v>5736.08220663932</v>
      </c>
      <c r="N24" s="51" t="n">
        <f aca="false">N22-N23</f>
        <v>5749.7588031095</v>
      </c>
      <c r="O24" s="51" t="n">
        <f aca="false">O22-O23</f>
        <v>6076.65786959036</v>
      </c>
      <c r="P24" s="51" t="n">
        <f aca="false">P22-P23</f>
        <v>6090.58050456711</v>
      </c>
      <c r="Q24" s="51" t="n">
        <f aca="false">Q22-Q23</f>
        <v>6104.62781639305</v>
      </c>
      <c r="R24" s="51" t="n">
        <f aca="false">R22-R23</f>
        <v>6118.80092337843</v>
      </c>
      <c r="S24" s="51" t="n">
        <f aca="false">S22-S23</f>
        <v>6133.10095388</v>
      </c>
      <c r="T24" s="51" t="n">
        <f aca="false">T22-T23</f>
        <v>6147.52904639141</v>
      </c>
      <c r="U24" s="51" t="n">
        <f aca="false">U22-U23</f>
        <v>6162.08634963437</v>
      </c>
      <c r="V24" s="51" t="n">
        <f aca="false">V22-V23</f>
        <v>6176.77402265074</v>
      </c>
      <c r="W24" s="51" t="n">
        <f aca="false">W22-W23</f>
        <v>6191.59323489533</v>
      </c>
      <c r="X24" s="51" t="n">
        <f aca="false">X22-X23</f>
        <v>6206.54516632962</v>
      </c>
      <c r="Y24" s="51" t="n">
        <f aca="false">Y22-Y23</f>
        <v>6221.63100751626</v>
      </c>
      <c r="Z24" s="51" t="n">
        <f aca="false">Z22-Z23</f>
        <v>6236.85195971449</v>
      </c>
      <c r="AA24" s="51" t="n">
        <f aca="false">AA22-AA23</f>
        <v>6570.08223497637</v>
      </c>
      <c r="AB24" s="51" t="n">
        <f aca="false">AB22-AB23</f>
        <v>6585.57705624389</v>
      </c>
      <c r="AC24" s="51" t="n">
        <f aca="false">AC22-AC23</f>
        <v>6601.21065744695</v>
      </c>
      <c r="AD24" s="51" t="n">
        <f aca="false">AD22-AD23</f>
        <v>6616.98428360224</v>
      </c>
      <c r="AE24" s="51" t="n">
        <f aca="false">AE22-AE23</f>
        <v>6632.899190913</v>
      </c>
      <c r="AF24" s="51" t="n">
        <f aca="false">AF22-AF23</f>
        <v>6648.95664686969</v>
      </c>
      <c r="AG24" s="51" t="n">
        <f aca="false">AG22-AG23</f>
        <v>6665.1579303515</v>
      </c>
      <c r="AH24" s="51" t="n">
        <f aca="false">AH22-AH23</f>
        <v>6681.50433172892</v>
      </c>
      <c r="AI24" s="51" t="n">
        <f aca="false">AI22-AI23</f>
        <v>6697.99715296708</v>
      </c>
      <c r="AJ24" s="51" t="n">
        <f aca="false">AJ22-AJ23</f>
        <v>6714.63770773009</v>
      </c>
      <c r="AK24" s="51" t="n">
        <f aca="false">AK22-AK23</f>
        <v>6731.42732148636</v>
      </c>
      <c r="AL24" s="51" t="n">
        <f aca="false">AL22-AL23</f>
        <v>6748.36733161478</v>
      </c>
      <c r="AM24" s="52" t="n">
        <f aca="false">SUMIF($C$5:$AL$5,AM$5,$C24:$AL24)</f>
        <v>61316.6275763863</v>
      </c>
      <c r="AN24" s="52" t="n">
        <f aca="false">SUMIF($C$5:$AL$5,AN$5,$C24:$AL24)</f>
        <v>73866.7788549412</v>
      </c>
      <c r="AO24" s="52" t="n">
        <f aca="false">SUMIF($C$5:$AL$5,AO$5,$C24:$AL24)</f>
        <v>79894.8018459309</v>
      </c>
    </row>
    <row r="26" customFormat="false" ht="15" hidden="false" customHeight="false" outlineLevel="0" collapsed="false">
      <c r="A26" s="40" t="s">
        <v>430</v>
      </c>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row>
    <row r="27" customFormat="false" ht="15" hidden="false" customHeight="false" outlineLevel="0" collapsed="false">
      <c r="A27" s="10" t="s">
        <v>431</v>
      </c>
      <c r="B27" s="2"/>
      <c r="C27" s="28" t="n">
        <f aca="false">IF(C7=0,0,(C17+C20)/C7)</f>
        <v>0.826344488844489</v>
      </c>
      <c r="D27" s="28" t="n">
        <f aca="false">IF(D7=0,0,(D17+D20)/D7)</f>
        <v>0.756471653346653</v>
      </c>
      <c r="E27" s="28" t="n">
        <f aca="false">IF(E7=0,0,(E17+E20)/E7)</f>
        <v>0.723373994426626</v>
      </c>
      <c r="F27" s="28" t="n">
        <f aca="false">IF(F7=0,0,(F17+F20)/F7)</f>
        <v>0.714547952047952</v>
      </c>
      <c r="G27" s="28" t="n">
        <f aca="false">IF(G7=0,0,(G17+G20)/G7)</f>
        <v>0.714547952047952</v>
      </c>
      <c r="H27" s="28" t="n">
        <f aca="false">IF(H7=0,0,(H17+H20)/H7)</f>
        <v>0.714547952047952</v>
      </c>
      <c r="I27" s="28" t="n">
        <f aca="false">IF(I7=0,0,(I17+I20)/I7)</f>
        <v>0.714547952047952</v>
      </c>
      <c r="J27" s="28" t="n">
        <f aca="false">IF(J7=0,0,(J17+J20)/J7)</f>
        <v>0.714547952047952</v>
      </c>
      <c r="K27" s="28" t="n">
        <f aca="false">IF(K7=0,0,(K17+K20)/K7)</f>
        <v>0.714547952047952</v>
      </c>
      <c r="L27" s="28" t="n">
        <f aca="false">IF(L7=0,0,(L17+L20)/L7)</f>
        <v>0.714547952047952</v>
      </c>
      <c r="M27" s="28" t="n">
        <f aca="false">IF(M7=0,0,(M17+M20)/M7)</f>
        <v>0.714547952047952</v>
      </c>
      <c r="N27" s="28" t="n">
        <f aca="false">IF(N7=0,0,(N17+N20)/N7)</f>
        <v>0.714547952047952</v>
      </c>
      <c r="O27" s="28" t="n">
        <f aca="false">IF(O7=0,0,(O17+O20)/O7)</f>
        <v>0.706856705386117</v>
      </c>
      <c r="P27" s="28" t="n">
        <f aca="false">IF(P7=0,0,(P17+P20)/P7)</f>
        <v>0.706856705386117</v>
      </c>
      <c r="Q27" s="28" t="n">
        <f aca="false">IF(Q7=0,0,(Q17+Q20)/Q7)</f>
        <v>0.706856705386117</v>
      </c>
      <c r="R27" s="28" t="n">
        <f aca="false">IF(R7=0,0,(R17+R20)/R7)</f>
        <v>0.706856705386117</v>
      </c>
      <c r="S27" s="28" t="n">
        <f aca="false">IF(S7=0,0,(S17+S20)/S7)</f>
        <v>0.706856705386117</v>
      </c>
      <c r="T27" s="28" t="n">
        <f aca="false">IF(T7=0,0,(T17+T20)/T7)</f>
        <v>0.706856705386117</v>
      </c>
      <c r="U27" s="28" t="n">
        <f aca="false">IF(U7=0,0,(U17+U20)/U7)</f>
        <v>0.706856705386117</v>
      </c>
      <c r="V27" s="28" t="n">
        <f aca="false">IF(V7=0,0,(V17+V20)/V7)</f>
        <v>0.706856705386117</v>
      </c>
      <c r="W27" s="28" t="n">
        <f aca="false">IF(W7=0,0,(W17+W20)/W7)</f>
        <v>0.706856705386117</v>
      </c>
      <c r="X27" s="28" t="n">
        <f aca="false">IF(X7=0,0,(X17+X20)/X7)</f>
        <v>0.706856705386117</v>
      </c>
      <c r="Y27" s="28" t="n">
        <f aca="false">IF(Y7=0,0,(Y17+Y20)/Y7)</f>
        <v>0.706856705386117</v>
      </c>
      <c r="Z27" s="28" t="n">
        <f aca="false">IF(Z7=0,0,(Z17+Z20)/Z7)</f>
        <v>0.706856705386117</v>
      </c>
      <c r="AA27" s="28" t="n">
        <f aca="false">IF(AA7=0,0,(AA17+AA20)/AA7)</f>
        <v>0.699378223340161</v>
      </c>
      <c r="AB27" s="28" t="n">
        <f aca="false">IF(AB7=0,0,(AB17+AB20)/AB7)</f>
        <v>0.699378223340161</v>
      </c>
      <c r="AC27" s="28" t="n">
        <f aca="false">IF(AC7=0,0,(AC17+AC20)/AC7)</f>
        <v>0.699378223340161</v>
      </c>
      <c r="AD27" s="28" t="n">
        <f aca="false">IF(AD7=0,0,(AD17+AD20)/AD7)</f>
        <v>0.699378223340161</v>
      </c>
      <c r="AE27" s="28" t="n">
        <f aca="false">IF(AE7=0,0,(AE17+AE20)/AE7)</f>
        <v>0.699378223340161</v>
      </c>
      <c r="AF27" s="28" t="n">
        <f aca="false">IF(AF7=0,0,(AF17+AF20)/AF7)</f>
        <v>0.699378223340161</v>
      </c>
      <c r="AG27" s="28" t="n">
        <f aca="false">IF(AG7=0,0,(AG17+AG20)/AG7)</f>
        <v>0.699378223340161</v>
      </c>
      <c r="AH27" s="28" t="n">
        <f aca="false">IF(AH7=0,0,(AH17+AH20)/AH7)</f>
        <v>0.699378223340161</v>
      </c>
      <c r="AI27" s="28" t="n">
        <f aca="false">IF(AI7=0,0,(AI17+AI20)/AI7)</f>
        <v>0.699378223340161</v>
      </c>
      <c r="AJ27" s="28" t="n">
        <f aca="false">IF(AJ7=0,0,(AJ17+AJ20)/AJ7)</f>
        <v>0.699378223340161</v>
      </c>
      <c r="AK27" s="28" t="n">
        <f aca="false">IF(AK7=0,0,(AK17+AK20)/AK7)</f>
        <v>0.699378223340161</v>
      </c>
      <c r="AL27" s="28" t="n">
        <f aca="false">IF(AL7=0,0,(AL17+AL20)/AL7)</f>
        <v>0.699378223340161</v>
      </c>
      <c r="AM27" s="66" t="n">
        <f aca="false">IF(AM7=0,0,(AM17+AM20)/AM7)</f>
        <v>0.724151619305804</v>
      </c>
      <c r="AN27" s="66" t="n">
        <f aca="false">IF(AN7=0,0,(AN17+AN20)/AN7)</f>
        <v>0.706856705386117</v>
      </c>
      <c r="AO27" s="66" t="n">
        <f aca="false">IF(AO7=0,0,(AO17+AO20)/AO7)</f>
        <v>0.699378223340161</v>
      </c>
    </row>
    <row r="28" customFormat="false" ht="15" hidden="false" customHeight="false" outlineLevel="0" collapsed="false">
      <c r="A28" s="10" t="s">
        <v>432</v>
      </c>
      <c r="B28" s="2"/>
      <c r="C28" s="28" t="n">
        <f aca="false">IF(C7=0,0,C19/C7)</f>
        <v>0.289095626595627</v>
      </c>
      <c r="D28" s="28" t="n">
        <f aca="false">IF(D7=0,0,D19/D7)</f>
        <v>0.330108433233433</v>
      </c>
      <c r="E28" s="28" t="n">
        <f aca="false">IF(E7=0,0,E19/E7)</f>
        <v>0.349535552167131</v>
      </c>
      <c r="F28" s="28" t="n">
        <f aca="false">IF(F7=0,0,F19/F7)</f>
        <v>0.354716117216117</v>
      </c>
      <c r="G28" s="28" t="n">
        <f aca="false">IF(G7=0,0,G19/G7)</f>
        <v>0.354716117216117</v>
      </c>
      <c r="H28" s="28" t="n">
        <f aca="false">IF(H7=0,0,H19/H7)</f>
        <v>0.354716117216117</v>
      </c>
      <c r="I28" s="28" t="n">
        <f aca="false">IF(I7=0,0,I19/I7)</f>
        <v>0.354716117216117</v>
      </c>
      <c r="J28" s="28" t="n">
        <f aca="false">IF(J7=0,0,J19/J7)</f>
        <v>0.354716117216117</v>
      </c>
      <c r="K28" s="28" t="n">
        <f aca="false">IF(K7=0,0,K19/K7)</f>
        <v>0.354716117216117</v>
      </c>
      <c r="L28" s="28" t="n">
        <f aca="false">IF(L7=0,0,L19/L7)</f>
        <v>0.354716117216117</v>
      </c>
      <c r="M28" s="28" t="n">
        <f aca="false">IF(M7=0,0,M19/M7)</f>
        <v>0.354716117216117</v>
      </c>
      <c r="N28" s="28" t="n">
        <f aca="false">IF(N7=0,0,N19/N7)</f>
        <v>0.354716117216117</v>
      </c>
      <c r="O28" s="28" t="n">
        <f aca="false">IF(O7=0,0,O19/O7)</f>
        <v>0.361049244872774</v>
      </c>
      <c r="P28" s="28" t="n">
        <f aca="false">IF(P7=0,0,P19/P7)</f>
        <v>0.361049244872774</v>
      </c>
      <c r="Q28" s="28" t="n">
        <f aca="false">IF(Q7=0,0,Q19/Q7)</f>
        <v>0.361049244872774</v>
      </c>
      <c r="R28" s="28" t="n">
        <f aca="false">IF(R7=0,0,R19/R7)</f>
        <v>0.361049244872774</v>
      </c>
      <c r="S28" s="28" t="n">
        <f aca="false">IF(S7=0,0,S19/S7)</f>
        <v>0.361049244872774</v>
      </c>
      <c r="T28" s="28" t="n">
        <f aca="false">IF(T7=0,0,T19/T7)</f>
        <v>0.361049244872774</v>
      </c>
      <c r="U28" s="28" t="n">
        <f aca="false">IF(U7=0,0,U19/U7)</f>
        <v>0.361049244872774</v>
      </c>
      <c r="V28" s="28" t="n">
        <f aca="false">IF(V7=0,0,V19/V7)</f>
        <v>0.361049244872774</v>
      </c>
      <c r="W28" s="28" t="n">
        <f aca="false">IF(W7=0,0,W19/W7)</f>
        <v>0.361049244872774</v>
      </c>
      <c r="X28" s="28" t="n">
        <f aca="false">IF(X7=0,0,X19/X7)</f>
        <v>0.361049244872774</v>
      </c>
      <c r="Y28" s="28" t="n">
        <f aca="false">IF(Y7=0,0,Y19/Y7)</f>
        <v>0.361049244872774</v>
      </c>
      <c r="Z28" s="28" t="n">
        <f aca="false">IF(Z7=0,0,Z19/Z7)</f>
        <v>0.361049244872774</v>
      </c>
      <c r="AA28" s="28" t="n">
        <f aca="false">IF(AA7=0,0,AA19/AA7)</f>
        <v>0.367196237697968</v>
      </c>
      <c r="AB28" s="28" t="n">
        <f aca="false">IF(AB7=0,0,AB19/AB7)</f>
        <v>0.367196237697968</v>
      </c>
      <c r="AC28" s="28" t="n">
        <f aca="false">IF(AC7=0,0,AC19/AC7)</f>
        <v>0.367196237697968</v>
      </c>
      <c r="AD28" s="28" t="n">
        <f aca="false">IF(AD7=0,0,AD19/AD7)</f>
        <v>0.367196237697968</v>
      </c>
      <c r="AE28" s="28" t="n">
        <f aca="false">IF(AE7=0,0,AE19/AE7)</f>
        <v>0.367196237697968</v>
      </c>
      <c r="AF28" s="28" t="n">
        <f aca="false">IF(AF7=0,0,AF19/AF7)</f>
        <v>0.367196237697968</v>
      </c>
      <c r="AG28" s="28" t="n">
        <f aca="false">IF(AG7=0,0,AG19/AG7)</f>
        <v>0.367196237697968</v>
      </c>
      <c r="AH28" s="28" t="n">
        <f aca="false">IF(AH7=0,0,AH19/AH7)</f>
        <v>0.367196237697968</v>
      </c>
      <c r="AI28" s="28" t="n">
        <f aca="false">IF(AI7=0,0,AI19/AI7)</f>
        <v>0.367196237697968</v>
      </c>
      <c r="AJ28" s="28" t="n">
        <f aca="false">IF(AJ7=0,0,AJ19/AJ7)</f>
        <v>0.367196237697968</v>
      </c>
      <c r="AK28" s="28" t="n">
        <f aca="false">IF(AK7=0,0,AK19/AK7)</f>
        <v>0.367196237697968</v>
      </c>
      <c r="AL28" s="28" t="n">
        <f aca="false">IF(AL7=0,0,AL19/AL7)</f>
        <v>0.367196237697968</v>
      </c>
      <c r="AM28" s="66" t="n">
        <f aca="false">IF(AM7=0,0,AM19/AM7)</f>
        <v>0.349079114717881</v>
      </c>
      <c r="AN28" s="66" t="n">
        <f aca="false">IF(AN7=0,0,AN19/AN7)</f>
        <v>0.361049244872774</v>
      </c>
      <c r="AO28" s="66" t="n">
        <f aca="false">IF(AO7=0,0,AO19/AO7)</f>
        <v>0.367196237697968</v>
      </c>
    </row>
    <row r="29" customFormat="false" ht="15" hidden="false" customHeight="false" outlineLevel="0" collapsed="false">
      <c r="A29" s="10" t="s">
        <v>433</v>
      </c>
      <c r="B29" s="2"/>
      <c r="C29" s="28" t="n">
        <f aca="false">IF(C7=0,0,C24/C7)</f>
        <v>0.102362221112221</v>
      </c>
      <c r="D29" s="28" t="n">
        <f aca="false">IF(D7=0,0,D24/D7)</f>
        <v>0.190735338210099</v>
      </c>
      <c r="E29" s="28" t="n">
        <f aca="false">IF(E7=0,0,E24/E7)</f>
        <v>0.232743910192667</v>
      </c>
      <c r="F29" s="28" t="n">
        <f aca="false">IF(F7=0,0,F24/F7)</f>
        <v>0.244315365840383</v>
      </c>
      <c r="G29" s="28" t="n">
        <f aca="false">IF(G7=0,0,G24/G7)</f>
        <v>0.244871610573598</v>
      </c>
      <c r="H29" s="28" t="n">
        <f aca="false">IF(H7=0,0,H24/H7)</f>
        <v>0.245432835810256</v>
      </c>
      <c r="I29" s="28" t="n">
        <f aca="false">IF(I7=0,0,I24/I7)</f>
        <v>0.245999086218253</v>
      </c>
      <c r="J29" s="28" t="n">
        <f aca="false">IF(J7=0,0,J24/J7)</f>
        <v>0.246570406866714</v>
      </c>
      <c r="K29" s="28" t="n">
        <f aca="false">IF(K7=0,0,K24/K7)</f>
        <v>0.247146843229607</v>
      </c>
      <c r="L29" s="28" t="n">
        <f aca="false">IF(L7=0,0,L24/L7)</f>
        <v>0.247728441189386</v>
      </c>
      <c r="M29" s="28" t="n">
        <f aca="false">IF(M7=0,0,M24/M7)</f>
        <v>0.248315247040663</v>
      </c>
      <c r="N29" s="28" t="n">
        <f aca="false">IF(N7=0,0,N24/N7)</f>
        <v>0.248907307493918</v>
      </c>
      <c r="O29" s="28" t="n">
        <f aca="false">IF(O7=0,0,O24/O7)</f>
        <v>0.25790076689544</v>
      </c>
      <c r="P29" s="28" t="n">
        <f aca="false">IF(P7=0,0,P24/P7)</f>
        <v>0.258491660494317</v>
      </c>
      <c r="Q29" s="28" t="n">
        <f aca="false">IF(Q7=0,0,Q24/Q7)</f>
        <v>0.259087845530645</v>
      </c>
      <c r="R29" s="28" t="n">
        <f aca="false">IF(R7=0,0,R24/R7)</f>
        <v>0.259689369466872</v>
      </c>
      <c r="S29" s="28" t="n">
        <f aca="false">IF(S7=0,0,S24/S7)</f>
        <v>0.260296280191835</v>
      </c>
      <c r="T29" s="28" t="n">
        <f aca="false">IF(T7=0,0,T24/T7)</f>
        <v>0.260908626024591</v>
      </c>
      <c r="U29" s="28" t="n">
        <f aca="false">IF(U7=0,0,U24/U7)</f>
        <v>0.261526455718291</v>
      </c>
      <c r="V29" s="28" t="n">
        <f aca="false">IF(V7=0,0,V24/V7)</f>
        <v>0.262149818464084</v>
      </c>
      <c r="W29" s="28" t="n">
        <f aca="false">IF(W7=0,0,W24/W7)</f>
        <v>0.262778763895057</v>
      </c>
      <c r="X29" s="28" t="n">
        <f aca="false">IF(X7=0,0,X24/X7)</f>
        <v>0.263413342090214</v>
      </c>
      <c r="Y29" s="28" t="n">
        <f aca="false">IF(Y7=0,0,Y24/Y7)</f>
        <v>0.264053603578485</v>
      </c>
      <c r="Z29" s="28" t="n">
        <f aca="false">IF(Z7=0,0,Z24/Z7)</f>
        <v>0.264699599342776</v>
      </c>
      <c r="AA29" s="28" t="n">
        <f aca="false">IF(AA7=0,0,AA24/AA7)</f>
        <v>0.273374802356086</v>
      </c>
      <c r="AB29" s="28" t="n">
        <f aca="false">IF(AB7=0,0,AB24/AB7)</f>
        <v>0.274019526965315</v>
      </c>
      <c r="AC29" s="28" t="n">
        <f aca="false">IF(AC7=0,0,AC24/AC7)</f>
        <v>0.274670026074177</v>
      </c>
      <c r="AD29" s="28" t="n">
        <f aca="false">IF(AD7=0,0,AD24/AD7)</f>
        <v>0.275326351486618</v>
      </c>
      <c r="AE29" s="28" t="n">
        <f aca="false">IF(AE7=0,0,AE24/AE7)</f>
        <v>0.275988555472046</v>
      </c>
      <c r="AF29" s="28" t="n">
        <f aca="false">IF(AF7=0,0,AF24/AF7)</f>
        <v>0.276656690769521</v>
      </c>
      <c r="AG29" s="28" t="n">
        <f aca="false">IF(AG7=0,0,AG24/AG7)</f>
        <v>0.277330810591976</v>
      </c>
      <c r="AH29" s="28" t="n">
        <f aca="false">IF(AH7=0,0,AH24/AH7)</f>
        <v>0.278010968630485</v>
      </c>
      <c r="AI29" s="28" t="n">
        <f aca="false">IF(AI7=0,0,AI24/AI7)</f>
        <v>0.278697219058565</v>
      </c>
      <c r="AJ29" s="28" t="n">
        <f aca="false">IF(AJ7=0,0,AJ24/AJ7)</f>
        <v>0.279389616536517</v>
      </c>
      <c r="AK29" s="28" t="n">
        <f aca="false">IF(AK7=0,0,AK24/AK7)</f>
        <v>0.280088216215806</v>
      </c>
      <c r="AL29" s="28" t="n">
        <f aca="false">IF(AL7=0,0,AL24/AL7)</f>
        <v>0.280793073743481</v>
      </c>
      <c r="AM29" s="66" t="n">
        <f aca="false">IF(AM7=0,0,AM24/AM7)</f>
        <v>0.233867794024778</v>
      </c>
      <c r="AN29" s="66" t="n">
        <f aca="false">IF(AN7=0,0,AN24/AN7)</f>
        <v>0.26124967764105</v>
      </c>
      <c r="AO29" s="66" t="n">
        <f aca="false">IF(AO7=0,0,AO24/AO7)</f>
        <v>0.277028821491716</v>
      </c>
    </row>
  </sheetData>
  <printOptions headings="false" gridLines="false" gridLinesSet="true" horizontalCentered="false" verticalCentered="false"/>
  <pageMargins left="0.75" right="0.75" top="1" bottom="1" header="0.511811023622047" footer="0.511811023622047"/>
  <pageSetup paperSize="1" scale="100" fitToWidth="0" fitToHeight="1"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O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2" min="2" style="0" width="9"/>
    <col collapsed="false" customWidth="true" hidden="false" outlineLevel="0" max="38" min="3" style="0" width="11"/>
    <col collapsed="false" customWidth="true" hidden="false" outlineLevel="0" max="41" min="39" style="0" width="13"/>
  </cols>
  <sheetData>
    <row r="1" customFormat="false" ht="17.35" hidden="false" customHeight="false" outlineLevel="0" collapsed="false">
      <c r="A1" s="1" t="s">
        <v>434</v>
      </c>
    </row>
    <row r="2" customFormat="false" ht="15" hidden="false" customHeight="false" outlineLevel="0" collapsed="false">
      <c r="A2" s="2" t="s">
        <v>435</v>
      </c>
    </row>
    <row r="4" customFormat="false" ht="15" hidden="false" customHeight="false" outlineLevel="0" collapsed="false">
      <c r="A4" s="3" t="s">
        <v>303</v>
      </c>
      <c r="C4" s="35" t="n">
        <v>1</v>
      </c>
      <c r="D4" s="35" t="n">
        <v>2</v>
      </c>
      <c r="E4" s="35" t="n">
        <v>3</v>
      </c>
      <c r="F4" s="35" t="n">
        <v>4</v>
      </c>
      <c r="G4" s="35" t="n">
        <v>5</v>
      </c>
      <c r="H4" s="35" t="n">
        <v>6</v>
      </c>
      <c r="I4" s="35" t="n">
        <v>7</v>
      </c>
      <c r="J4" s="35" t="n">
        <v>8</v>
      </c>
      <c r="K4" s="35" t="n">
        <v>9</v>
      </c>
      <c r="L4" s="35" t="n">
        <v>10</v>
      </c>
      <c r="M4" s="35" t="n">
        <v>11</v>
      </c>
      <c r="N4" s="35" t="n">
        <v>12</v>
      </c>
      <c r="O4" s="35" t="n">
        <v>13</v>
      </c>
      <c r="P4" s="35" t="n">
        <v>14</v>
      </c>
      <c r="Q4" s="35" t="n">
        <v>15</v>
      </c>
      <c r="R4" s="35" t="n">
        <v>16</v>
      </c>
      <c r="S4" s="35" t="n">
        <v>17</v>
      </c>
      <c r="T4" s="35" t="n">
        <v>18</v>
      </c>
      <c r="U4" s="35" t="n">
        <v>19</v>
      </c>
      <c r="V4" s="35" t="n">
        <v>20</v>
      </c>
      <c r="W4" s="35" t="n">
        <v>21</v>
      </c>
      <c r="X4" s="35" t="n">
        <v>22</v>
      </c>
      <c r="Y4" s="35" t="n">
        <v>23</v>
      </c>
      <c r="Z4" s="35" t="n">
        <v>24</v>
      </c>
      <c r="AA4" s="35" t="n">
        <v>25</v>
      </c>
      <c r="AB4" s="35" t="n">
        <v>26</v>
      </c>
      <c r="AC4" s="35" t="n">
        <v>27</v>
      </c>
      <c r="AD4" s="35" t="n">
        <v>28</v>
      </c>
      <c r="AE4" s="35" t="n">
        <v>29</v>
      </c>
      <c r="AF4" s="35" t="n">
        <v>30</v>
      </c>
      <c r="AG4" s="35" t="n">
        <v>31</v>
      </c>
      <c r="AH4" s="35" t="n">
        <v>32</v>
      </c>
      <c r="AI4" s="35" t="n">
        <v>33</v>
      </c>
      <c r="AJ4" s="35" t="n">
        <v>34</v>
      </c>
      <c r="AK4" s="35" t="n">
        <v>35</v>
      </c>
      <c r="AL4" s="35" t="n">
        <v>36</v>
      </c>
      <c r="AM4" s="36" t="s">
        <v>304</v>
      </c>
      <c r="AN4" s="36" t="s">
        <v>304</v>
      </c>
      <c r="AO4" s="36" t="s">
        <v>304</v>
      </c>
    </row>
    <row r="5" customFormat="false" ht="15" hidden="false" customHeight="false" outlineLevel="0" collapsed="false">
      <c r="A5" s="3" t="s">
        <v>305</v>
      </c>
      <c r="C5" s="37" t="n">
        <f aca="false">INT((C4-1)/12)+1</f>
        <v>1</v>
      </c>
      <c r="D5" s="37" t="n">
        <f aca="false">INT((D4-1)/12)+1</f>
        <v>1</v>
      </c>
      <c r="E5" s="37" t="n">
        <f aca="false">INT((E4-1)/12)+1</f>
        <v>1</v>
      </c>
      <c r="F5" s="37" t="n">
        <f aca="false">INT((F4-1)/12)+1</f>
        <v>1</v>
      </c>
      <c r="G5" s="37" t="n">
        <f aca="false">INT((G4-1)/12)+1</f>
        <v>1</v>
      </c>
      <c r="H5" s="37" t="n">
        <f aca="false">INT((H4-1)/12)+1</f>
        <v>1</v>
      </c>
      <c r="I5" s="37" t="n">
        <f aca="false">INT((I4-1)/12)+1</f>
        <v>1</v>
      </c>
      <c r="J5" s="37" t="n">
        <f aca="false">INT((J4-1)/12)+1</f>
        <v>1</v>
      </c>
      <c r="K5" s="37" t="n">
        <f aca="false">INT((K4-1)/12)+1</f>
        <v>1</v>
      </c>
      <c r="L5" s="37" t="n">
        <f aca="false">INT((L4-1)/12)+1</f>
        <v>1</v>
      </c>
      <c r="M5" s="37" t="n">
        <f aca="false">INT((M4-1)/12)+1</f>
        <v>1</v>
      </c>
      <c r="N5" s="37" t="n">
        <f aca="false">INT((N4-1)/12)+1</f>
        <v>1</v>
      </c>
      <c r="O5" s="37" t="n">
        <f aca="false">INT((O4-1)/12)+1</f>
        <v>2</v>
      </c>
      <c r="P5" s="37" t="n">
        <f aca="false">INT((P4-1)/12)+1</f>
        <v>2</v>
      </c>
      <c r="Q5" s="37" t="n">
        <f aca="false">INT((Q4-1)/12)+1</f>
        <v>2</v>
      </c>
      <c r="R5" s="37" t="n">
        <f aca="false">INT((R4-1)/12)+1</f>
        <v>2</v>
      </c>
      <c r="S5" s="37" t="n">
        <f aca="false">INT((S4-1)/12)+1</f>
        <v>2</v>
      </c>
      <c r="T5" s="37" t="n">
        <f aca="false">INT((T4-1)/12)+1</f>
        <v>2</v>
      </c>
      <c r="U5" s="37" t="n">
        <f aca="false">INT((U4-1)/12)+1</f>
        <v>2</v>
      </c>
      <c r="V5" s="37" t="n">
        <f aca="false">INT((V4-1)/12)+1</f>
        <v>2</v>
      </c>
      <c r="W5" s="37" t="n">
        <f aca="false">INT((W4-1)/12)+1</f>
        <v>2</v>
      </c>
      <c r="X5" s="37" t="n">
        <f aca="false">INT((X4-1)/12)+1</f>
        <v>2</v>
      </c>
      <c r="Y5" s="37" t="n">
        <f aca="false">INT((Y4-1)/12)+1</f>
        <v>2</v>
      </c>
      <c r="Z5" s="37" t="n">
        <f aca="false">INT((Z4-1)/12)+1</f>
        <v>2</v>
      </c>
      <c r="AA5" s="37" t="n">
        <f aca="false">INT((AA4-1)/12)+1</f>
        <v>3</v>
      </c>
      <c r="AB5" s="37" t="n">
        <f aca="false">INT((AB4-1)/12)+1</f>
        <v>3</v>
      </c>
      <c r="AC5" s="37" t="n">
        <f aca="false">INT((AC4-1)/12)+1</f>
        <v>3</v>
      </c>
      <c r="AD5" s="37" t="n">
        <f aca="false">INT((AD4-1)/12)+1</f>
        <v>3</v>
      </c>
      <c r="AE5" s="37" t="n">
        <f aca="false">INT((AE4-1)/12)+1</f>
        <v>3</v>
      </c>
      <c r="AF5" s="37" t="n">
        <f aca="false">INT((AF4-1)/12)+1</f>
        <v>3</v>
      </c>
      <c r="AG5" s="37" t="n">
        <f aca="false">INT((AG4-1)/12)+1</f>
        <v>3</v>
      </c>
      <c r="AH5" s="37" t="n">
        <f aca="false">INT((AH4-1)/12)+1</f>
        <v>3</v>
      </c>
      <c r="AI5" s="37" t="n">
        <f aca="false">INT((AI4-1)/12)+1</f>
        <v>3</v>
      </c>
      <c r="AJ5" s="37" t="n">
        <f aca="false">INT((AJ4-1)/12)+1</f>
        <v>3</v>
      </c>
      <c r="AK5" s="37" t="n">
        <f aca="false">INT((AK4-1)/12)+1</f>
        <v>3</v>
      </c>
      <c r="AL5" s="37" t="n">
        <f aca="false">INT((AL4-1)/12)+1</f>
        <v>3</v>
      </c>
      <c r="AM5" s="35" t="n">
        <v>1</v>
      </c>
      <c r="AN5" s="35" t="n">
        <v>2</v>
      </c>
      <c r="AO5" s="35" t="n">
        <v>3</v>
      </c>
    </row>
    <row r="6" customFormat="false" ht="15" hidden="false" customHeight="false" outlineLevel="0" collapsed="false">
      <c r="A6" s="6" t="s">
        <v>306</v>
      </c>
      <c r="B6" s="6" t="s">
        <v>71</v>
      </c>
      <c r="C6" s="38" t="n">
        <f aca="false">EDATE(Assumptions!$C$7,C4-1)</f>
        <v>46388</v>
      </c>
      <c r="D6" s="38" t="n">
        <f aca="false">EDATE(Assumptions!$C$7,D4-1)</f>
        <v>46419</v>
      </c>
      <c r="E6" s="38" t="n">
        <f aca="false">EDATE(Assumptions!$C$7,E4-1)</f>
        <v>46447</v>
      </c>
      <c r="F6" s="38" t="n">
        <f aca="false">EDATE(Assumptions!$C$7,F4-1)</f>
        <v>46478</v>
      </c>
      <c r="G6" s="38" t="n">
        <f aca="false">EDATE(Assumptions!$C$7,G4-1)</f>
        <v>46508</v>
      </c>
      <c r="H6" s="38" t="n">
        <f aca="false">EDATE(Assumptions!$C$7,H4-1)</f>
        <v>46539</v>
      </c>
      <c r="I6" s="38" t="n">
        <f aca="false">EDATE(Assumptions!$C$7,I4-1)</f>
        <v>46569</v>
      </c>
      <c r="J6" s="38" t="n">
        <f aca="false">EDATE(Assumptions!$C$7,J4-1)</f>
        <v>46600</v>
      </c>
      <c r="K6" s="38" t="n">
        <f aca="false">EDATE(Assumptions!$C$7,K4-1)</f>
        <v>46631</v>
      </c>
      <c r="L6" s="38" t="n">
        <f aca="false">EDATE(Assumptions!$C$7,L4-1)</f>
        <v>46661</v>
      </c>
      <c r="M6" s="38" t="n">
        <f aca="false">EDATE(Assumptions!$C$7,M4-1)</f>
        <v>46692</v>
      </c>
      <c r="N6" s="38" t="n">
        <f aca="false">EDATE(Assumptions!$C$7,N4-1)</f>
        <v>46722</v>
      </c>
      <c r="O6" s="38" t="n">
        <f aca="false">EDATE(Assumptions!$C$7,O4-1)</f>
        <v>46753</v>
      </c>
      <c r="P6" s="38" t="n">
        <f aca="false">EDATE(Assumptions!$C$7,P4-1)</f>
        <v>46784</v>
      </c>
      <c r="Q6" s="38" t="n">
        <f aca="false">EDATE(Assumptions!$C$7,Q4-1)</f>
        <v>46813</v>
      </c>
      <c r="R6" s="38" t="n">
        <f aca="false">EDATE(Assumptions!$C$7,R4-1)</f>
        <v>46844</v>
      </c>
      <c r="S6" s="38" t="n">
        <f aca="false">EDATE(Assumptions!$C$7,S4-1)</f>
        <v>46874</v>
      </c>
      <c r="T6" s="38" t="n">
        <f aca="false">EDATE(Assumptions!$C$7,T4-1)</f>
        <v>46905</v>
      </c>
      <c r="U6" s="38" t="n">
        <f aca="false">EDATE(Assumptions!$C$7,U4-1)</f>
        <v>46935</v>
      </c>
      <c r="V6" s="38" t="n">
        <f aca="false">EDATE(Assumptions!$C$7,V4-1)</f>
        <v>46966</v>
      </c>
      <c r="W6" s="38" t="n">
        <f aca="false">EDATE(Assumptions!$C$7,W4-1)</f>
        <v>46997</v>
      </c>
      <c r="X6" s="38" t="n">
        <f aca="false">EDATE(Assumptions!$C$7,X4-1)</f>
        <v>47027</v>
      </c>
      <c r="Y6" s="38" t="n">
        <f aca="false">EDATE(Assumptions!$C$7,Y4-1)</f>
        <v>47058</v>
      </c>
      <c r="Z6" s="38" t="n">
        <f aca="false">EDATE(Assumptions!$C$7,Z4-1)</f>
        <v>47088</v>
      </c>
      <c r="AA6" s="38" t="n">
        <f aca="false">EDATE(Assumptions!$C$7,AA4-1)</f>
        <v>47119</v>
      </c>
      <c r="AB6" s="38" t="n">
        <f aca="false">EDATE(Assumptions!$C$7,AB4-1)</f>
        <v>47150</v>
      </c>
      <c r="AC6" s="38" t="n">
        <f aca="false">EDATE(Assumptions!$C$7,AC4-1)</f>
        <v>47178</v>
      </c>
      <c r="AD6" s="38" t="n">
        <f aca="false">EDATE(Assumptions!$C$7,AD4-1)</f>
        <v>47209</v>
      </c>
      <c r="AE6" s="38" t="n">
        <f aca="false">EDATE(Assumptions!$C$7,AE4-1)</f>
        <v>47239</v>
      </c>
      <c r="AF6" s="38" t="n">
        <f aca="false">EDATE(Assumptions!$C$7,AF4-1)</f>
        <v>47270</v>
      </c>
      <c r="AG6" s="38" t="n">
        <f aca="false">EDATE(Assumptions!$C$7,AG4-1)</f>
        <v>47300</v>
      </c>
      <c r="AH6" s="38" t="n">
        <f aca="false">EDATE(Assumptions!$C$7,AH4-1)</f>
        <v>47331</v>
      </c>
      <c r="AI6" s="38" t="n">
        <f aca="false">EDATE(Assumptions!$C$7,AI4-1)</f>
        <v>47362</v>
      </c>
      <c r="AJ6" s="38" t="n">
        <f aca="false">EDATE(Assumptions!$C$7,AJ4-1)</f>
        <v>47392</v>
      </c>
      <c r="AK6" s="38" t="n">
        <f aca="false">EDATE(Assumptions!$C$7,AK4-1)</f>
        <v>47423</v>
      </c>
      <c r="AL6" s="38" t="n">
        <f aca="false">EDATE(Assumptions!$C$7,AL4-1)</f>
        <v>47453</v>
      </c>
      <c r="AM6" s="39" t="s">
        <v>307</v>
      </c>
      <c r="AN6" s="39" t="s">
        <v>308</v>
      </c>
      <c r="AO6" s="39" t="s">
        <v>309</v>
      </c>
    </row>
    <row r="7" customFormat="false" ht="15" hidden="false" customHeight="false" outlineLevel="0" collapsed="false">
      <c r="A7" s="10" t="s">
        <v>436</v>
      </c>
      <c r="B7" s="2"/>
      <c r="C7" s="31" t="n">
        <f aca="false">'Startup &amp; Funding'!$C$20</f>
        <v>30700</v>
      </c>
      <c r="D7" s="31" t="n">
        <f aca="false">C18</f>
        <v>11471.1484746725</v>
      </c>
      <c r="E7" s="31" t="n">
        <f aca="false">D18</f>
        <v>6580.83541088354</v>
      </c>
      <c r="F7" s="31" t="n">
        <f aca="false">E18</f>
        <v>4415.67619324839</v>
      </c>
      <c r="G7" s="31" t="n">
        <f aca="false">F18</f>
        <v>5083.90159099785</v>
      </c>
      <c r="H7" s="31" t="n">
        <f aca="false">G18</f>
        <v>6907.12698874731</v>
      </c>
      <c r="I7" s="31" t="n">
        <f aca="false">H18</f>
        <v>8730.35238649678</v>
      </c>
      <c r="J7" s="31" t="n">
        <f aca="false">I18</f>
        <v>10553.5777842462</v>
      </c>
      <c r="K7" s="31" t="n">
        <f aca="false">J18</f>
        <v>12376.8031819957</v>
      </c>
      <c r="L7" s="31" t="n">
        <f aca="false">K18</f>
        <v>14200.0285797452</v>
      </c>
      <c r="M7" s="31" t="n">
        <f aca="false">L18</f>
        <v>16023.2539774946</v>
      </c>
      <c r="N7" s="31" t="n">
        <f aca="false">M18</f>
        <v>17846.4793752441</v>
      </c>
      <c r="O7" s="31" t="n">
        <f aca="false">N18</f>
        <v>19669.7047729935</v>
      </c>
      <c r="P7" s="31" t="n">
        <f aca="false">O18</f>
        <v>18072.3635040763</v>
      </c>
      <c r="Q7" s="31" t="n">
        <f aca="false">P18</f>
        <v>19942.0222351591</v>
      </c>
      <c r="R7" s="31" t="n">
        <f aca="false">Q18</f>
        <v>21811.6809662419</v>
      </c>
      <c r="S7" s="31" t="n">
        <f aca="false">R18</f>
        <v>23681.3396973247</v>
      </c>
      <c r="T7" s="31" t="n">
        <f aca="false">S18</f>
        <v>25550.9984284075</v>
      </c>
      <c r="U7" s="31" t="n">
        <f aca="false">T18</f>
        <v>27420.6571594903</v>
      </c>
      <c r="V7" s="31" t="n">
        <f aca="false">U18</f>
        <v>29290.3158905731</v>
      </c>
      <c r="W7" s="31" t="n">
        <f aca="false">V18</f>
        <v>31159.9746216559</v>
      </c>
      <c r="X7" s="31" t="n">
        <f aca="false">W18</f>
        <v>33029.6333527387</v>
      </c>
      <c r="Y7" s="31" t="n">
        <f aca="false">X18</f>
        <v>34899.2920838215</v>
      </c>
      <c r="Z7" s="31" t="n">
        <f aca="false">Y18</f>
        <v>36768.9508149043</v>
      </c>
      <c r="AA7" s="31" t="n">
        <f aca="false">Z18</f>
        <v>38638.6095459871</v>
      </c>
      <c r="AB7" s="31" t="n">
        <f aca="false">AA18</f>
        <v>37349.9012770699</v>
      </c>
      <c r="AC7" s="31" t="n">
        <f aca="false">AB18</f>
        <v>39537.4330081527</v>
      </c>
      <c r="AD7" s="31" t="n">
        <f aca="false">AC18</f>
        <v>41724.9647392355</v>
      </c>
      <c r="AE7" s="31" t="n">
        <f aca="false">AD18</f>
        <v>43912.4964703183</v>
      </c>
      <c r="AF7" s="31" t="n">
        <f aca="false">AE18</f>
        <v>46100.0282014011</v>
      </c>
      <c r="AG7" s="31" t="n">
        <f aca="false">AF18</f>
        <v>48287.5599324839</v>
      </c>
      <c r="AH7" s="31" t="n">
        <f aca="false">AG18</f>
        <v>50475.0916635667</v>
      </c>
      <c r="AI7" s="31" t="n">
        <f aca="false">AH18</f>
        <v>52662.6233946495</v>
      </c>
      <c r="AJ7" s="31" t="n">
        <f aca="false">AI18</f>
        <v>54850.1551257323</v>
      </c>
      <c r="AK7" s="31" t="n">
        <f aca="false">AJ18</f>
        <v>57037.686856815</v>
      </c>
      <c r="AL7" s="31" t="n">
        <f aca="false">AK18</f>
        <v>59225.2185878978</v>
      </c>
      <c r="AM7" s="50" t="n">
        <f aca="false">INDEX($C7:$AL7,(AM$5-1)*12+1)</f>
        <v>30700</v>
      </c>
      <c r="AN7" s="50" t="n">
        <f aca="false">INDEX($C7:$AL7,(AN$5-1)*12+1)</f>
        <v>19669.7047729935</v>
      </c>
      <c r="AO7" s="50" t="n">
        <f aca="false">INDEX($C7:$AL7,(AO$5-1)*12+1)</f>
        <v>38638.6095459871</v>
      </c>
    </row>
    <row r="8" customFormat="false" ht="15" hidden="false" customHeight="false" outlineLevel="0" collapsed="false">
      <c r="A8" s="10" t="s">
        <v>437</v>
      </c>
      <c r="B8" s="2"/>
      <c r="C8" s="65" t="n">
        <f aca="false">'P&amp;L'!C24</f>
        <v>1418.74038461538</v>
      </c>
      <c r="D8" s="65" t="n">
        <f aca="false">'P&amp;L'!D24</f>
        <v>3524.78905012263</v>
      </c>
      <c r="E8" s="65" t="n">
        <f aca="false">'P&amp;L'!E24</f>
        <v>5107.56510917808</v>
      </c>
      <c r="F8" s="65" t="n">
        <f aca="false">'P&amp;L'!F24</f>
        <v>5643.68495091286</v>
      </c>
      <c r="G8" s="65" t="n">
        <f aca="false">'P&amp;L'!G24</f>
        <v>5656.5342042501</v>
      </c>
      <c r="H8" s="65" t="n">
        <f aca="false">'P&amp;L'!H24</f>
        <v>5669.49850721692</v>
      </c>
      <c r="I8" s="65" t="n">
        <f aca="false">'P&amp;L'!I24</f>
        <v>5682.57889164165</v>
      </c>
      <c r="J8" s="65" t="n">
        <f aca="false">'P&amp;L'!J24</f>
        <v>5695.77639862109</v>
      </c>
      <c r="K8" s="65" t="n">
        <f aca="false">'P&amp;L'!K24</f>
        <v>5709.09207860393</v>
      </c>
      <c r="L8" s="65" t="n">
        <f aca="false">'P&amp;L'!L24</f>
        <v>5722.52699147483</v>
      </c>
      <c r="M8" s="65" t="n">
        <f aca="false">'P&amp;L'!M24</f>
        <v>5736.08220663932</v>
      </c>
      <c r="N8" s="65" t="n">
        <f aca="false">'P&amp;L'!N24</f>
        <v>5749.7588031095</v>
      </c>
      <c r="O8" s="65" t="n">
        <f aca="false">'P&amp;L'!O24</f>
        <v>6076.65786959036</v>
      </c>
      <c r="P8" s="65" t="n">
        <f aca="false">'P&amp;L'!P24</f>
        <v>6090.58050456711</v>
      </c>
      <c r="Q8" s="65" t="n">
        <f aca="false">'P&amp;L'!Q24</f>
        <v>6104.62781639305</v>
      </c>
      <c r="R8" s="65" t="n">
        <f aca="false">'P&amp;L'!R24</f>
        <v>6118.80092337843</v>
      </c>
      <c r="S8" s="65" t="n">
        <f aca="false">'P&amp;L'!S24</f>
        <v>6133.10095388</v>
      </c>
      <c r="T8" s="65" t="n">
        <f aca="false">'P&amp;L'!T24</f>
        <v>6147.52904639141</v>
      </c>
      <c r="U8" s="65" t="n">
        <f aca="false">'P&amp;L'!U24</f>
        <v>6162.08634963437</v>
      </c>
      <c r="V8" s="65" t="n">
        <f aca="false">'P&amp;L'!V24</f>
        <v>6176.77402265074</v>
      </c>
      <c r="W8" s="65" t="n">
        <f aca="false">'P&amp;L'!W24</f>
        <v>6191.59323489533</v>
      </c>
      <c r="X8" s="65" t="n">
        <f aca="false">'P&amp;L'!X24</f>
        <v>6206.54516632962</v>
      </c>
      <c r="Y8" s="65" t="n">
        <f aca="false">'P&amp;L'!Y24</f>
        <v>6221.63100751626</v>
      </c>
      <c r="Z8" s="65" t="n">
        <f aca="false">'P&amp;L'!Z24</f>
        <v>6236.85195971449</v>
      </c>
      <c r="AA8" s="65" t="n">
        <f aca="false">'P&amp;L'!AA24</f>
        <v>6570.08223497637</v>
      </c>
      <c r="AB8" s="65" t="n">
        <f aca="false">'P&amp;L'!AB24</f>
        <v>6585.57705624389</v>
      </c>
      <c r="AC8" s="65" t="n">
        <f aca="false">'P&amp;L'!AC24</f>
        <v>6601.21065744695</v>
      </c>
      <c r="AD8" s="65" t="n">
        <f aca="false">'P&amp;L'!AD24</f>
        <v>6616.98428360224</v>
      </c>
      <c r="AE8" s="65" t="n">
        <f aca="false">'P&amp;L'!AE24</f>
        <v>6632.899190913</v>
      </c>
      <c r="AF8" s="65" t="n">
        <f aca="false">'P&amp;L'!AF24</f>
        <v>6648.95664686969</v>
      </c>
      <c r="AG8" s="65" t="n">
        <f aca="false">'P&amp;L'!AG24</f>
        <v>6665.1579303515</v>
      </c>
      <c r="AH8" s="65" t="n">
        <f aca="false">'P&amp;L'!AH24</f>
        <v>6681.50433172892</v>
      </c>
      <c r="AI8" s="65" t="n">
        <f aca="false">'P&amp;L'!AI24</f>
        <v>6697.99715296708</v>
      </c>
      <c r="AJ8" s="65" t="n">
        <f aca="false">'P&amp;L'!AJ24</f>
        <v>6714.63770773009</v>
      </c>
      <c r="AK8" s="65" t="n">
        <f aca="false">'P&amp;L'!AK24</f>
        <v>6731.42732148636</v>
      </c>
      <c r="AL8" s="65" t="n">
        <f aca="false">'P&amp;L'!AL24</f>
        <v>6748.36733161478</v>
      </c>
      <c r="AM8" s="50" t="n">
        <f aca="false">SUMIF($C$5:$AL$5,AM$5,$C8:$AL8)</f>
        <v>61316.6275763863</v>
      </c>
      <c r="AN8" s="50" t="n">
        <f aca="false">SUMIF($C$5:$AL$5,AN$5,$C8:$AL8)</f>
        <v>73866.7788549412</v>
      </c>
      <c r="AO8" s="50" t="n">
        <f aca="false">SUMIF($C$5:$AL$5,AO$5,$C8:$AL8)</f>
        <v>79894.8018459309</v>
      </c>
    </row>
    <row r="9" customFormat="false" ht="15" hidden="false" customHeight="false" outlineLevel="0" collapsed="false">
      <c r="A9" s="10" t="s">
        <v>438</v>
      </c>
      <c r="B9" s="2"/>
      <c r="C9" s="65" t="n">
        <f aca="false">'P&amp;L'!C20</f>
        <v>1600</v>
      </c>
      <c r="D9" s="65" t="n">
        <f aca="false">'P&amp;L'!D20</f>
        <v>1600</v>
      </c>
      <c r="E9" s="65" t="n">
        <f aca="false">'P&amp;L'!E20</f>
        <v>1600</v>
      </c>
      <c r="F9" s="65" t="n">
        <f aca="false">'P&amp;L'!F20</f>
        <v>1600</v>
      </c>
      <c r="G9" s="65" t="n">
        <f aca="false">'P&amp;L'!G20</f>
        <v>1600</v>
      </c>
      <c r="H9" s="65" t="n">
        <f aca="false">'P&amp;L'!H20</f>
        <v>1600</v>
      </c>
      <c r="I9" s="65" t="n">
        <f aca="false">'P&amp;L'!I20</f>
        <v>1600</v>
      </c>
      <c r="J9" s="65" t="n">
        <f aca="false">'P&amp;L'!J20</f>
        <v>1600</v>
      </c>
      <c r="K9" s="65" t="n">
        <f aca="false">'P&amp;L'!K20</f>
        <v>1600</v>
      </c>
      <c r="L9" s="65" t="n">
        <f aca="false">'P&amp;L'!L20</f>
        <v>1600</v>
      </c>
      <c r="M9" s="65" t="n">
        <f aca="false">'P&amp;L'!M20</f>
        <v>1600</v>
      </c>
      <c r="N9" s="65" t="n">
        <f aca="false">'P&amp;L'!N20</f>
        <v>1600</v>
      </c>
      <c r="O9" s="65" t="n">
        <f aca="false">'P&amp;L'!O20</f>
        <v>1600</v>
      </c>
      <c r="P9" s="65" t="n">
        <f aca="false">'P&amp;L'!P20</f>
        <v>1600</v>
      </c>
      <c r="Q9" s="65" t="n">
        <f aca="false">'P&amp;L'!Q20</f>
        <v>1600</v>
      </c>
      <c r="R9" s="65" t="n">
        <f aca="false">'P&amp;L'!R20</f>
        <v>1600</v>
      </c>
      <c r="S9" s="65" t="n">
        <f aca="false">'P&amp;L'!S20</f>
        <v>1600</v>
      </c>
      <c r="T9" s="65" t="n">
        <f aca="false">'P&amp;L'!T20</f>
        <v>1600</v>
      </c>
      <c r="U9" s="65" t="n">
        <f aca="false">'P&amp;L'!U20</f>
        <v>1600</v>
      </c>
      <c r="V9" s="65" t="n">
        <f aca="false">'P&amp;L'!V20</f>
        <v>1600</v>
      </c>
      <c r="W9" s="65" t="n">
        <f aca="false">'P&amp;L'!W20</f>
        <v>1600</v>
      </c>
      <c r="X9" s="65" t="n">
        <f aca="false">'P&amp;L'!X20</f>
        <v>1600</v>
      </c>
      <c r="Y9" s="65" t="n">
        <f aca="false">'P&amp;L'!Y20</f>
        <v>1600</v>
      </c>
      <c r="Z9" s="65" t="n">
        <f aca="false">'P&amp;L'!Z20</f>
        <v>1600</v>
      </c>
      <c r="AA9" s="65" t="n">
        <f aca="false">'P&amp;L'!AA20</f>
        <v>1600</v>
      </c>
      <c r="AB9" s="65" t="n">
        <f aca="false">'P&amp;L'!AB20</f>
        <v>1600</v>
      </c>
      <c r="AC9" s="65" t="n">
        <f aca="false">'P&amp;L'!AC20</f>
        <v>1600</v>
      </c>
      <c r="AD9" s="65" t="n">
        <f aca="false">'P&amp;L'!AD20</f>
        <v>1600</v>
      </c>
      <c r="AE9" s="65" t="n">
        <f aca="false">'P&amp;L'!AE20</f>
        <v>1600</v>
      </c>
      <c r="AF9" s="65" t="n">
        <f aca="false">'P&amp;L'!AF20</f>
        <v>1600</v>
      </c>
      <c r="AG9" s="65" t="n">
        <f aca="false">'P&amp;L'!AG20</f>
        <v>1600</v>
      </c>
      <c r="AH9" s="65" t="n">
        <f aca="false">'P&amp;L'!AH20</f>
        <v>1600</v>
      </c>
      <c r="AI9" s="65" t="n">
        <f aca="false">'P&amp;L'!AI20</f>
        <v>1600</v>
      </c>
      <c r="AJ9" s="65" t="n">
        <f aca="false">'P&amp;L'!AJ20</f>
        <v>1600</v>
      </c>
      <c r="AK9" s="65" t="n">
        <f aca="false">'P&amp;L'!AK20</f>
        <v>1600</v>
      </c>
      <c r="AL9" s="65" t="n">
        <f aca="false">'P&amp;L'!AL20</f>
        <v>1600</v>
      </c>
      <c r="AM9" s="50" t="n">
        <f aca="false">SUMIF($C$5:$AL$5,AM$5,$C9:$AL9)</f>
        <v>19200</v>
      </c>
      <c r="AN9" s="50" t="n">
        <f aca="false">SUMIF($C$5:$AL$5,AN$5,$C9:$AL9)</f>
        <v>19200</v>
      </c>
      <c r="AO9" s="50" t="n">
        <f aca="false">SUMIF($C$5:$AL$5,AO$5,$C9:$AL9)</f>
        <v>19200</v>
      </c>
    </row>
    <row r="10" customFormat="false" ht="15" hidden="false" customHeight="false" outlineLevel="0" collapsed="false">
      <c r="A10" s="10" t="s">
        <v>439</v>
      </c>
      <c r="B10" s="2"/>
      <c r="C10" s="65" t="n">
        <f aca="false">'Operating Costs'!C37</f>
        <v>-2487.91666666667</v>
      </c>
      <c r="D10" s="65" t="n">
        <f aca="false">'Operating Costs'!D37</f>
        <v>517.083333333334</v>
      </c>
      <c r="E10" s="65" t="n">
        <f aca="false">'Operating Costs'!E37</f>
        <v>517.083333333334</v>
      </c>
      <c r="F10" s="65" t="n">
        <f aca="false">'Operating Costs'!F37</f>
        <v>517.083333333334</v>
      </c>
      <c r="G10" s="65" t="n">
        <f aca="false">'Operating Costs'!G37</f>
        <v>517.083333333334</v>
      </c>
      <c r="H10" s="65" t="n">
        <f aca="false">'Operating Costs'!H37</f>
        <v>517.083333333334</v>
      </c>
      <c r="I10" s="65" t="n">
        <f aca="false">'Operating Costs'!I37</f>
        <v>517.083333333334</v>
      </c>
      <c r="J10" s="65" t="n">
        <f aca="false">'Operating Costs'!J37</f>
        <v>517.083333333334</v>
      </c>
      <c r="K10" s="65" t="n">
        <f aca="false">'Operating Costs'!K37</f>
        <v>517.083333333334</v>
      </c>
      <c r="L10" s="65" t="n">
        <f aca="false">'Operating Costs'!L37</f>
        <v>517.083333333334</v>
      </c>
      <c r="M10" s="65" t="n">
        <f aca="false">'Operating Costs'!M37</f>
        <v>517.083333333334</v>
      </c>
      <c r="N10" s="65" t="n">
        <f aca="false">'Operating Costs'!N37</f>
        <v>517.083333333334</v>
      </c>
      <c r="O10" s="65" t="n">
        <f aca="false">'Operating Costs'!O37</f>
        <v>-2754.58333333333</v>
      </c>
      <c r="P10" s="65" t="n">
        <f aca="false">'Operating Costs'!P37</f>
        <v>250.416666666667</v>
      </c>
      <c r="Q10" s="65" t="n">
        <f aca="false">'Operating Costs'!Q37</f>
        <v>250.416666666667</v>
      </c>
      <c r="R10" s="65" t="n">
        <f aca="false">'Operating Costs'!R37</f>
        <v>250.416666666667</v>
      </c>
      <c r="S10" s="65" t="n">
        <f aca="false">'Operating Costs'!S37</f>
        <v>250.416666666667</v>
      </c>
      <c r="T10" s="65" t="n">
        <f aca="false">'Operating Costs'!T37</f>
        <v>250.416666666667</v>
      </c>
      <c r="U10" s="65" t="n">
        <f aca="false">'Operating Costs'!U37</f>
        <v>250.416666666667</v>
      </c>
      <c r="V10" s="65" t="n">
        <f aca="false">'Operating Costs'!V37</f>
        <v>250.416666666667</v>
      </c>
      <c r="W10" s="65" t="n">
        <f aca="false">'Operating Costs'!W37</f>
        <v>250.416666666667</v>
      </c>
      <c r="X10" s="65" t="n">
        <f aca="false">'Operating Costs'!X37</f>
        <v>250.416666666667</v>
      </c>
      <c r="Y10" s="65" t="n">
        <f aca="false">'Operating Costs'!Y37</f>
        <v>250.416666666667</v>
      </c>
      <c r="Z10" s="65" t="n">
        <f aca="false">'Operating Costs'!Z37</f>
        <v>250.416666666667</v>
      </c>
      <c r="AA10" s="65" t="n">
        <f aca="false">'Operating Costs'!AA37</f>
        <v>-2754.58333333333</v>
      </c>
      <c r="AB10" s="65" t="n">
        <f aca="false">'Operating Costs'!AB37</f>
        <v>250.416666666667</v>
      </c>
      <c r="AC10" s="65" t="n">
        <f aca="false">'Operating Costs'!AC37</f>
        <v>250.416666666667</v>
      </c>
      <c r="AD10" s="65" t="n">
        <f aca="false">'Operating Costs'!AD37</f>
        <v>250.416666666667</v>
      </c>
      <c r="AE10" s="65" t="n">
        <f aca="false">'Operating Costs'!AE37</f>
        <v>250.416666666667</v>
      </c>
      <c r="AF10" s="65" t="n">
        <f aca="false">'Operating Costs'!AF37</f>
        <v>250.416666666667</v>
      </c>
      <c r="AG10" s="65" t="n">
        <f aca="false">'Operating Costs'!AG37</f>
        <v>250.416666666667</v>
      </c>
      <c r="AH10" s="65" t="n">
        <f aca="false">'Operating Costs'!AH37</f>
        <v>250.416666666667</v>
      </c>
      <c r="AI10" s="65" t="n">
        <f aca="false">'Operating Costs'!AI37</f>
        <v>250.416666666667</v>
      </c>
      <c r="AJ10" s="65" t="n">
        <f aca="false">'Operating Costs'!AJ37</f>
        <v>250.416666666667</v>
      </c>
      <c r="AK10" s="65" t="n">
        <f aca="false">'Operating Costs'!AK37</f>
        <v>250.416666666667</v>
      </c>
      <c r="AL10" s="65" t="n">
        <f aca="false">'Operating Costs'!AL37</f>
        <v>250.416666666667</v>
      </c>
      <c r="AM10" s="50" t="n">
        <f aca="false">SUMIF($C$5:$AL$5,AM$5,$C10:$AL10)</f>
        <v>3200</v>
      </c>
      <c r="AN10" s="50" t="n">
        <f aca="false">SUMIF($C$5:$AL$5,AN$5,$C10:$AL10)</f>
        <v>1.13686837721616E-012</v>
      </c>
      <c r="AO10" s="50" t="n">
        <f aca="false">SUMIF($C$5:$AL$5,AO$5,$C10:$AL10)</f>
        <v>1.13686837721616E-012</v>
      </c>
    </row>
    <row r="11" customFormat="false" ht="15" hidden="false" customHeight="false" outlineLevel="0" collapsed="false">
      <c r="A11" s="10" t="s">
        <v>440</v>
      </c>
      <c r="B11" s="2"/>
      <c r="C11" s="31" t="n">
        <f aca="false">IF(OR(Assumptions!$C$32=1,Assumptions!$C$31=0),Revenue!C22,0)</f>
        <v>0</v>
      </c>
      <c r="D11" s="31" t="n">
        <f aca="false">IF(OR(Assumptions!$C$32=1,Assumptions!$C$31=0),Revenue!D22,Revenue!C22)</f>
        <v>13860</v>
      </c>
      <c r="E11" s="31" t="n">
        <f aca="false">IF(OR(Assumptions!$C$32=1,Assumptions!$C$31=0),Revenue!E22,Revenue!D22)</f>
        <v>18480</v>
      </c>
      <c r="F11" s="31" t="n">
        <f aca="false">IF(OR(Assumptions!$C$32=1,Assumptions!$C$31=0),Revenue!F22,Revenue!E22)</f>
        <v>21945</v>
      </c>
      <c r="G11" s="31" t="n">
        <f aca="false">IF(OR(Assumptions!$C$32=1,Assumptions!$C$31=0),Revenue!G22,Revenue!F22)</f>
        <v>23100</v>
      </c>
      <c r="H11" s="31" t="n">
        <f aca="false">IF(OR(Assumptions!$C$32=1,Assumptions!$C$31=0),Revenue!H22,Revenue!G22)</f>
        <v>23100</v>
      </c>
      <c r="I11" s="31" t="n">
        <f aca="false">IF(OR(Assumptions!$C$32=1,Assumptions!$C$31=0),Revenue!I22,Revenue!H22)</f>
        <v>23100</v>
      </c>
      <c r="J11" s="31" t="n">
        <f aca="false">IF(OR(Assumptions!$C$32=1,Assumptions!$C$31=0),Revenue!J22,Revenue!I22)</f>
        <v>23100</v>
      </c>
      <c r="K11" s="31" t="n">
        <f aca="false">IF(OR(Assumptions!$C$32=1,Assumptions!$C$31=0),Revenue!K22,Revenue!J22)</f>
        <v>23100</v>
      </c>
      <c r="L11" s="31" t="n">
        <f aca="false">IF(OR(Assumptions!$C$32=1,Assumptions!$C$31=0),Revenue!L22,Revenue!K22)</f>
        <v>23100</v>
      </c>
      <c r="M11" s="31" t="n">
        <f aca="false">IF(OR(Assumptions!$C$32=1,Assumptions!$C$31=0),Revenue!M22,Revenue!L22)</f>
        <v>23100</v>
      </c>
      <c r="N11" s="31" t="n">
        <f aca="false">IF(OR(Assumptions!$C$32=1,Assumptions!$C$31=0),Revenue!N22,Revenue!M22)</f>
        <v>23100</v>
      </c>
      <c r="O11" s="31" t="n">
        <f aca="false">IF(OR(Assumptions!$C$32=1,Assumptions!$C$31=0),Revenue!O22,Revenue!N22)</f>
        <v>23100</v>
      </c>
      <c r="P11" s="31" t="n">
        <f aca="false">IF(OR(Assumptions!$C$32=1,Assumptions!$C$31=0),Revenue!P22,Revenue!O22)</f>
        <v>23562</v>
      </c>
      <c r="Q11" s="31" t="n">
        <f aca="false">IF(OR(Assumptions!$C$32=1,Assumptions!$C$31=0),Revenue!Q22,Revenue!P22)</f>
        <v>23562</v>
      </c>
      <c r="R11" s="31" t="n">
        <f aca="false">IF(OR(Assumptions!$C$32=1,Assumptions!$C$31=0),Revenue!R22,Revenue!Q22)</f>
        <v>23562</v>
      </c>
      <c r="S11" s="31" t="n">
        <f aca="false">IF(OR(Assumptions!$C$32=1,Assumptions!$C$31=0),Revenue!S22,Revenue!R22)</f>
        <v>23562</v>
      </c>
      <c r="T11" s="31" t="n">
        <f aca="false">IF(OR(Assumptions!$C$32=1,Assumptions!$C$31=0),Revenue!T22,Revenue!S22)</f>
        <v>23562</v>
      </c>
      <c r="U11" s="31" t="n">
        <f aca="false">IF(OR(Assumptions!$C$32=1,Assumptions!$C$31=0),Revenue!U22,Revenue!T22)</f>
        <v>23562</v>
      </c>
      <c r="V11" s="31" t="n">
        <f aca="false">IF(OR(Assumptions!$C$32=1,Assumptions!$C$31=0),Revenue!V22,Revenue!U22)</f>
        <v>23562</v>
      </c>
      <c r="W11" s="31" t="n">
        <f aca="false">IF(OR(Assumptions!$C$32=1,Assumptions!$C$31=0),Revenue!W22,Revenue!V22)</f>
        <v>23562</v>
      </c>
      <c r="X11" s="31" t="n">
        <f aca="false">IF(OR(Assumptions!$C$32=1,Assumptions!$C$31=0),Revenue!X22,Revenue!W22)</f>
        <v>23562</v>
      </c>
      <c r="Y11" s="31" t="n">
        <f aca="false">IF(OR(Assumptions!$C$32=1,Assumptions!$C$31=0),Revenue!Y22,Revenue!X22)</f>
        <v>23562</v>
      </c>
      <c r="Z11" s="31" t="n">
        <f aca="false">IF(OR(Assumptions!$C$32=1,Assumptions!$C$31=0),Revenue!Z22,Revenue!Y22)</f>
        <v>23562</v>
      </c>
      <c r="AA11" s="31" t="n">
        <f aca="false">IF(OR(Assumptions!$C$32=1,Assumptions!$C$31=0),Revenue!AA22,Revenue!Z22)</f>
        <v>23562</v>
      </c>
      <c r="AB11" s="31" t="n">
        <f aca="false">IF(OR(Assumptions!$C$32=1,Assumptions!$C$31=0),Revenue!AB22,Revenue!AA22)</f>
        <v>24033.24</v>
      </c>
      <c r="AC11" s="31" t="n">
        <f aca="false">IF(OR(Assumptions!$C$32=1,Assumptions!$C$31=0),Revenue!AC22,Revenue!AB22)</f>
        <v>24033.24</v>
      </c>
      <c r="AD11" s="31" t="n">
        <f aca="false">IF(OR(Assumptions!$C$32=1,Assumptions!$C$31=0),Revenue!AD22,Revenue!AC22)</f>
        <v>24033.24</v>
      </c>
      <c r="AE11" s="31" t="n">
        <f aca="false">IF(OR(Assumptions!$C$32=1,Assumptions!$C$31=0),Revenue!AE22,Revenue!AD22)</f>
        <v>24033.24</v>
      </c>
      <c r="AF11" s="31" t="n">
        <f aca="false">IF(OR(Assumptions!$C$32=1,Assumptions!$C$31=0),Revenue!AF22,Revenue!AE22)</f>
        <v>24033.24</v>
      </c>
      <c r="AG11" s="31" t="n">
        <f aca="false">IF(OR(Assumptions!$C$32=1,Assumptions!$C$31=0),Revenue!AG22,Revenue!AF22)</f>
        <v>24033.24</v>
      </c>
      <c r="AH11" s="31" t="n">
        <f aca="false">IF(OR(Assumptions!$C$32=1,Assumptions!$C$31=0),Revenue!AH22,Revenue!AG22)</f>
        <v>24033.24</v>
      </c>
      <c r="AI11" s="31" t="n">
        <f aca="false">IF(OR(Assumptions!$C$32=1,Assumptions!$C$31=0),Revenue!AI22,Revenue!AH22)</f>
        <v>24033.24</v>
      </c>
      <c r="AJ11" s="31" t="n">
        <f aca="false">IF(OR(Assumptions!$C$32=1,Assumptions!$C$31=0),Revenue!AJ22,Revenue!AI22)</f>
        <v>24033.24</v>
      </c>
      <c r="AK11" s="31" t="n">
        <f aca="false">IF(OR(Assumptions!$C$32=1,Assumptions!$C$31=0),Revenue!AK22,Revenue!AJ22)</f>
        <v>24033.24</v>
      </c>
      <c r="AL11" s="31" t="n">
        <f aca="false">IF(OR(Assumptions!$C$32=1,Assumptions!$C$31=0),Revenue!AL22,Revenue!AK22)</f>
        <v>24033.24</v>
      </c>
      <c r="AM11" s="50" t="n">
        <f aca="false">SUMIF($C$5:$AL$5,AM$5,$C11:$AL11)</f>
        <v>239085</v>
      </c>
      <c r="AN11" s="50" t="n">
        <f aca="false">SUMIF($C$5:$AL$5,AN$5,$C11:$AL11)</f>
        <v>282282</v>
      </c>
      <c r="AO11" s="50" t="n">
        <f aca="false">SUMIF($C$5:$AL$5,AO$5,$C11:$AL11)</f>
        <v>287927.64</v>
      </c>
    </row>
    <row r="12" customFormat="false" ht="15" hidden="false" customHeight="false" outlineLevel="0" collapsed="false">
      <c r="A12" s="10" t="s">
        <v>441</v>
      </c>
      <c r="B12" s="2"/>
      <c r="C12" s="31" t="n">
        <f aca="false">C11-Revenue!C22</f>
        <v>-13860</v>
      </c>
      <c r="D12" s="31" t="n">
        <f aca="false">D11-Revenue!D22</f>
        <v>-4620</v>
      </c>
      <c r="E12" s="31" t="n">
        <f aca="false">E11-Revenue!E22</f>
        <v>-3465</v>
      </c>
      <c r="F12" s="31" t="n">
        <f aca="false">F11-Revenue!F22</f>
        <v>-1155</v>
      </c>
      <c r="G12" s="31" t="n">
        <f aca="false">G11-Revenue!G22</f>
        <v>0</v>
      </c>
      <c r="H12" s="31" t="n">
        <f aca="false">H11-Revenue!H22</f>
        <v>0</v>
      </c>
      <c r="I12" s="31" t="n">
        <f aca="false">I11-Revenue!I22</f>
        <v>0</v>
      </c>
      <c r="J12" s="31" t="n">
        <f aca="false">J11-Revenue!J22</f>
        <v>0</v>
      </c>
      <c r="K12" s="31" t="n">
        <f aca="false">K11-Revenue!K22</f>
        <v>0</v>
      </c>
      <c r="L12" s="31" t="n">
        <f aca="false">L11-Revenue!L22</f>
        <v>0</v>
      </c>
      <c r="M12" s="31" t="n">
        <f aca="false">M11-Revenue!M22</f>
        <v>0</v>
      </c>
      <c r="N12" s="31" t="n">
        <f aca="false">N11-Revenue!N22</f>
        <v>0</v>
      </c>
      <c r="O12" s="31" t="n">
        <f aca="false">O11-Revenue!O22</f>
        <v>-462</v>
      </c>
      <c r="P12" s="31" t="n">
        <f aca="false">P11-Revenue!P22</f>
        <v>0</v>
      </c>
      <c r="Q12" s="31" t="n">
        <f aca="false">Q11-Revenue!Q22</f>
        <v>0</v>
      </c>
      <c r="R12" s="31" t="n">
        <f aca="false">R11-Revenue!R22</f>
        <v>0</v>
      </c>
      <c r="S12" s="31" t="n">
        <f aca="false">S11-Revenue!S22</f>
        <v>0</v>
      </c>
      <c r="T12" s="31" t="n">
        <f aca="false">T11-Revenue!T22</f>
        <v>0</v>
      </c>
      <c r="U12" s="31" t="n">
        <f aca="false">U11-Revenue!U22</f>
        <v>0</v>
      </c>
      <c r="V12" s="31" t="n">
        <f aca="false">V11-Revenue!V22</f>
        <v>0</v>
      </c>
      <c r="W12" s="31" t="n">
        <f aca="false">W11-Revenue!W22</f>
        <v>0</v>
      </c>
      <c r="X12" s="31" t="n">
        <f aca="false">X11-Revenue!X22</f>
        <v>0</v>
      </c>
      <c r="Y12" s="31" t="n">
        <f aca="false">Y11-Revenue!Y22</f>
        <v>0</v>
      </c>
      <c r="Z12" s="31" t="n">
        <f aca="false">Z11-Revenue!Z22</f>
        <v>0</v>
      </c>
      <c r="AA12" s="31" t="n">
        <f aca="false">AA11-Revenue!AA22</f>
        <v>-471.240000000002</v>
      </c>
      <c r="AB12" s="31" t="n">
        <f aca="false">AB11-Revenue!AB22</f>
        <v>0</v>
      </c>
      <c r="AC12" s="31" t="n">
        <f aca="false">AC11-Revenue!AC22</f>
        <v>0</v>
      </c>
      <c r="AD12" s="31" t="n">
        <f aca="false">AD11-Revenue!AD22</f>
        <v>0</v>
      </c>
      <c r="AE12" s="31" t="n">
        <f aca="false">AE11-Revenue!AE22</f>
        <v>0</v>
      </c>
      <c r="AF12" s="31" t="n">
        <f aca="false">AF11-Revenue!AF22</f>
        <v>0</v>
      </c>
      <c r="AG12" s="31" t="n">
        <f aca="false">AG11-Revenue!AG22</f>
        <v>0</v>
      </c>
      <c r="AH12" s="31" t="n">
        <f aca="false">AH11-Revenue!AH22</f>
        <v>0</v>
      </c>
      <c r="AI12" s="31" t="n">
        <f aca="false">AI11-Revenue!AI22</f>
        <v>0</v>
      </c>
      <c r="AJ12" s="31" t="n">
        <f aca="false">AJ11-Revenue!AJ22</f>
        <v>0</v>
      </c>
      <c r="AK12" s="31" t="n">
        <f aca="false">AK11-Revenue!AK22</f>
        <v>0</v>
      </c>
      <c r="AL12" s="31" t="n">
        <f aca="false">AL11-Revenue!AL22</f>
        <v>0</v>
      </c>
      <c r="AM12" s="50" t="n">
        <f aca="false">SUMIF($C$5:$AL$5,AM$5,$C12:$AL12)</f>
        <v>-23100</v>
      </c>
      <c r="AN12" s="50" t="n">
        <f aca="false">SUMIF($C$5:$AL$5,AN$5,$C12:$AL12)</f>
        <v>-462</v>
      </c>
      <c r="AO12" s="50" t="n">
        <f aca="false">SUMIF($C$5:$AL$5,AO$5,$C12:$AL12)</f>
        <v>-471.240000000002</v>
      </c>
    </row>
    <row r="13" customFormat="false" ht="15" hidden="false" customHeight="false" outlineLevel="0" collapsed="false">
      <c r="A13" s="10" t="s">
        <v>442</v>
      </c>
      <c r="B13" s="2"/>
      <c r="C13" s="31" t="n">
        <f aca="false">-(INDEX(Loan!$F$15:$F$134,C4)+INDEX(Loan!$M$15:$M$134,C4))</f>
        <v>-1399.67524327618</v>
      </c>
      <c r="D13" s="31" t="n">
        <f aca="false">-(INDEX(Loan!$F$15:$F$134,D4)+INDEX(Loan!$M$15:$M$134,D4))</f>
        <v>-1412.18544724497</v>
      </c>
      <c r="E13" s="31" t="n">
        <f aca="false">-(INDEX(Loan!$F$15:$F$134,E4)+INDEX(Loan!$M$15:$M$134,E4))</f>
        <v>-1424.80766014657</v>
      </c>
      <c r="F13" s="31" t="n">
        <f aca="false">-(INDEX(Loan!$F$15:$F$134,F4)+INDEX(Loan!$M$15:$M$134,F4))</f>
        <v>-1437.54288649673</v>
      </c>
      <c r="G13" s="31" t="n">
        <f aca="false">-(INDEX(Loan!$F$15:$F$134,G4)+INDEX(Loan!$M$15:$M$134,G4))</f>
        <v>-1450.39213983397</v>
      </c>
      <c r="H13" s="31" t="n">
        <f aca="false">-(INDEX(Loan!$F$15:$F$134,H4)+INDEX(Loan!$M$15:$M$134,H4))</f>
        <v>-1463.3564428008</v>
      </c>
      <c r="I13" s="31" t="n">
        <f aca="false">-(INDEX(Loan!$F$15:$F$134,I4)+INDEX(Loan!$M$15:$M$134,I4))</f>
        <v>-1476.43682722552</v>
      </c>
      <c r="J13" s="31" t="n">
        <f aca="false">-(INDEX(Loan!$F$15:$F$134,J4)+INDEX(Loan!$M$15:$M$134,J4))</f>
        <v>-1489.63433420496</v>
      </c>
      <c r="K13" s="31" t="n">
        <f aca="false">-(INDEX(Loan!$F$15:$F$134,K4)+INDEX(Loan!$M$15:$M$134,K4))</f>
        <v>-1502.9500141878</v>
      </c>
      <c r="L13" s="31" t="n">
        <f aca="false">-(INDEX(Loan!$F$15:$F$134,L4)+INDEX(Loan!$M$15:$M$134,L4))</f>
        <v>-1516.3849270587</v>
      </c>
      <c r="M13" s="31" t="n">
        <f aca="false">-(INDEX(Loan!$F$15:$F$134,M4)+INDEX(Loan!$M$15:$M$134,M4))</f>
        <v>-1529.9401422232</v>
      </c>
      <c r="N13" s="31" t="n">
        <f aca="false">-(INDEX(Loan!$F$15:$F$134,N4)+INDEX(Loan!$M$15:$M$134,N4))</f>
        <v>-1543.61673869337</v>
      </c>
      <c r="O13" s="31" t="n">
        <f aca="false">-(INDEX(Loan!$F$15:$F$134,O4)+INDEX(Loan!$M$15:$M$134,O4))</f>
        <v>-1557.41580517423</v>
      </c>
      <c r="P13" s="31" t="n">
        <f aca="false">-(INDEX(Loan!$F$15:$F$134,P4)+INDEX(Loan!$M$15:$M$134,P4))</f>
        <v>-1571.33844015098</v>
      </c>
      <c r="Q13" s="31" t="n">
        <f aca="false">-(INDEX(Loan!$F$15:$F$134,Q4)+INDEX(Loan!$M$15:$M$134,Q4))</f>
        <v>-1585.38575197692</v>
      </c>
      <c r="R13" s="31" t="n">
        <f aca="false">-(INDEX(Loan!$F$15:$F$134,R4)+INDEX(Loan!$M$15:$M$134,R4))</f>
        <v>-1599.5588589623</v>
      </c>
      <c r="S13" s="31" t="n">
        <f aca="false">-(INDEX(Loan!$F$15:$F$134,S4)+INDEX(Loan!$M$15:$M$134,S4))</f>
        <v>-1613.85888946388</v>
      </c>
      <c r="T13" s="31" t="n">
        <f aca="false">-(INDEX(Loan!$F$15:$F$134,T4)+INDEX(Loan!$M$15:$M$134,T4))</f>
        <v>-1628.28698197528</v>
      </c>
      <c r="U13" s="31" t="n">
        <f aca="false">-(INDEX(Loan!$F$15:$F$134,U4)+INDEX(Loan!$M$15:$M$134,U4))</f>
        <v>-1642.84428521825</v>
      </c>
      <c r="V13" s="31" t="n">
        <f aca="false">-(INDEX(Loan!$F$15:$F$134,V4)+INDEX(Loan!$M$15:$M$134,V4))</f>
        <v>-1657.53195823462</v>
      </c>
      <c r="W13" s="31" t="n">
        <f aca="false">-(INDEX(Loan!$F$15:$F$134,W4)+INDEX(Loan!$M$15:$M$134,W4))</f>
        <v>-1672.35117047921</v>
      </c>
      <c r="X13" s="31" t="n">
        <f aca="false">-(INDEX(Loan!$F$15:$F$134,X4)+INDEX(Loan!$M$15:$M$134,X4))</f>
        <v>-1687.30310191349</v>
      </c>
      <c r="Y13" s="31" t="n">
        <f aca="false">-(INDEX(Loan!$F$15:$F$134,Y4)+INDEX(Loan!$M$15:$M$134,Y4))</f>
        <v>-1702.38894310013</v>
      </c>
      <c r="Z13" s="31" t="n">
        <f aca="false">-(INDEX(Loan!$F$15:$F$134,Z4)+INDEX(Loan!$M$15:$M$134,Z4))</f>
        <v>-1717.60989529836</v>
      </c>
      <c r="AA13" s="31" t="n">
        <f aca="false">-(INDEX(Loan!$F$15:$F$134,AA4)+INDEX(Loan!$M$15:$M$134,AA4))</f>
        <v>-1732.96717056024</v>
      </c>
      <c r="AB13" s="31" t="n">
        <f aca="false">-(INDEX(Loan!$F$15:$F$134,AB4)+INDEX(Loan!$M$15:$M$134,AB4))</f>
        <v>-1748.46199182776</v>
      </c>
      <c r="AC13" s="31" t="n">
        <f aca="false">-(INDEX(Loan!$F$15:$F$134,AC4)+INDEX(Loan!$M$15:$M$134,AC4))</f>
        <v>-1764.09559303082</v>
      </c>
      <c r="AD13" s="31" t="n">
        <f aca="false">-(INDEX(Loan!$F$15:$F$134,AD4)+INDEX(Loan!$M$15:$M$134,AD4))</f>
        <v>-1779.86921918611</v>
      </c>
      <c r="AE13" s="31" t="n">
        <f aca="false">-(INDEX(Loan!$F$15:$F$134,AE4)+INDEX(Loan!$M$15:$M$134,AE4))</f>
        <v>-1795.78412649687</v>
      </c>
      <c r="AF13" s="31" t="n">
        <f aca="false">-(INDEX(Loan!$F$15:$F$134,AF4)+INDEX(Loan!$M$15:$M$134,AF4))</f>
        <v>-1811.84158245355</v>
      </c>
      <c r="AG13" s="31" t="n">
        <f aca="false">-(INDEX(Loan!$F$15:$F$134,AG4)+INDEX(Loan!$M$15:$M$134,AG4))</f>
        <v>-1828.04286593537</v>
      </c>
      <c r="AH13" s="31" t="n">
        <f aca="false">-(INDEX(Loan!$F$15:$F$134,AH4)+INDEX(Loan!$M$15:$M$134,AH4))</f>
        <v>-1844.38926731279</v>
      </c>
      <c r="AI13" s="31" t="n">
        <f aca="false">-(INDEX(Loan!$F$15:$F$134,AI4)+INDEX(Loan!$M$15:$M$134,AI4))</f>
        <v>-1860.88208855095</v>
      </c>
      <c r="AJ13" s="31" t="n">
        <f aca="false">-(INDEX(Loan!$F$15:$F$134,AJ4)+INDEX(Loan!$M$15:$M$134,AJ4))</f>
        <v>-1877.52264331396</v>
      </c>
      <c r="AK13" s="31" t="n">
        <f aca="false">-(INDEX(Loan!$F$15:$F$134,AK4)+INDEX(Loan!$M$15:$M$134,AK4))</f>
        <v>-1894.31225707023</v>
      </c>
      <c r="AL13" s="31" t="n">
        <f aca="false">-(INDEX(Loan!$F$15:$F$134,AL4)+INDEX(Loan!$M$15:$M$134,AL4))</f>
        <v>-1911.25226719865</v>
      </c>
      <c r="AM13" s="50" t="n">
        <f aca="false">SUMIF($C$5:$AL$5,AM$5,$C13:$AL13)</f>
        <v>-17646.9228033928</v>
      </c>
      <c r="AN13" s="50" t="n">
        <f aca="false">SUMIF($C$5:$AL$5,AN$5,$C13:$AL13)</f>
        <v>-19635.8740819476</v>
      </c>
      <c r="AO13" s="50" t="n">
        <f aca="false">SUMIF($C$5:$AL$5,AO$5,$C13:$AL13)</f>
        <v>-21849.4210729373</v>
      </c>
    </row>
    <row r="14" customFormat="false" ht="15" hidden="false" customHeight="false" outlineLevel="0" collapsed="false">
      <c r="A14" s="10" t="s">
        <v>443</v>
      </c>
      <c r="B14" s="2"/>
      <c r="C14" s="31" t="n">
        <f aca="false">-'Driver Pay'!C13</f>
        <v>-4500</v>
      </c>
      <c r="D14" s="31" t="n">
        <f aca="false">-'Driver Pay'!D13</f>
        <v>-4500</v>
      </c>
      <c r="E14" s="31" t="n">
        <f aca="false">-'Driver Pay'!E13</f>
        <v>-4500</v>
      </c>
      <c r="F14" s="31" t="n">
        <f aca="false">-'Driver Pay'!F13</f>
        <v>-4500</v>
      </c>
      <c r="G14" s="31" t="n">
        <f aca="false">-'Driver Pay'!G13</f>
        <v>-4500</v>
      </c>
      <c r="H14" s="31" t="n">
        <f aca="false">-'Driver Pay'!H13</f>
        <v>-4500</v>
      </c>
      <c r="I14" s="31" t="n">
        <f aca="false">-'Driver Pay'!I13</f>
        <v>-4500</v>
      </c>
      <c r="J14" s="31" t="n">
        <f aca="false">-'Driver Pay'!J13</f>
        <v>-4500</v>
      </c>
      <c r="K14" s="31" t="n">
        <f aca="false">-'Driver Pay'!K13</f>
        <v>-4500</v>
      </c>
      <c r="L14" s="31" t="n">
        <f aca="false">-'Driver Pay'!L13</f>
        <v>-4500</v>
      </c>
      <c r="M14" s="31" t="n">
        <f aca="false">-'Driver Pay'!M13</f>
        <v>-4500</v>
      </c>
      <c r="N14" s="31" t="n">
        <f aca="false">-'Driver Pay'!N13</f>
        <v>-4500</v>
      </c>
      <c r="O14" s="31" t="n">
        <f aca="false">-'Driver Pay'!O13</f>
        <v>-4500</v>
      </c>
      <c r="P14" s="31" t="n">
        <f aca="false">-'Driver Pay'!P13</f>
        <v>-4500</v>
      </c>
      <c r="Q14" s="31" t="n">
        <f aca="false">-'Driver Pay'!Q13</f>
        <v>-4500</v>
      </c>
      <c r="R14" s="31" t="n">
        <f aca="false">-'Driver Pay'!R13</f>
        <v>-4500</v>
      </c>
      <c r="S14" s="31" t="n">
        <f aca="false">-'Driver Pay'!S13</f>
        <v>-4500</v>
      </c>
      <c r="T14" s="31" t="n">
        <f aca="false">-'Driver Pay'!T13</f>
        <v>-4500</v>
      </c>
      <c r="U14" s="31" t="n">
        <f aca="false">-'Driver Pay'!U13</f>
        <v>-4500</v>
      </c>
      <c r="V14" s="31" t="n">
        <f aca="false">-'Driver Pay'!V13</f>
        <v>-4500</v>
      </c>
      <c r="W14" s="31" t="n">
        <f aca="false">-'Driver Pay'!W13</f>
        <v>-4500</v>
      </c>
      <c r="X14" s="31" t="n">
        <f aca="false">-'Driver Pay'!X13</f>
        <v>-4500</v>
      </c>
      <c r="Y14" s="31" t="n">
        <f aca="false">-'Driver Pay'!Y13</f>
        <v>-4500</v>
      </c>
      <c r="Z14" s="31" t="n">
        <f aca="false">-'Driver Pay'!Z13</f>
        <v>-4500</v>
      </c>
      <c r="AA14" s="31" t="n">
        <f aca="false">-'Driver Pay'!AA13</f>
        <v>-4500</v>
      </c>
      <c r="AB14" s="31" t="n">
        <f aca="false">-'Driver Pay'!AB13</f>
        <v>-4500</v>
      </c>
      <c r="AC14" s="31" t="n">
        <f aca="false">-'Driver Pay'!AC13</f>
        <v>-4500</v>
      </c>
      <c r="AD14" s="31" t="n">
        <f aca="false">-'Driver Pay'!AD13</f>
        <v>-4500</v>
      </c>
      <c r="AE14" s="31" t="n">
        <f aca="false">-'Driver Pay'!AE13</f>
        <v>-4500</v>
      </c>
      <c r="AF14" s="31" t="n">
        <f aca="false">-'Driver Pay'!AF13</f>
        <v>-4500</v>
      </c>
      <c r="AG14" s="31" t="n">
        <f aca="false">-'Driver Pay'!AG13</f>
        <v>-4500</v>
      </c>
      <c r="AH14" s="31" t="n">
        <f aca="false">-'Driver Pay'!AH13</f>
        <v>-4500</v>
      </c>
      <c r="AI14" s="31" t="n">
        <f aca="false">-'Driver Pay'!AI13</f>
        <v>-4500</v>
      </c>
      <c r="AJ14" s="31" t="n">
        <f aca="false">-'Driver Pay'!AJ13</f>
        <v>-4500</v>
      </c>
      <c r="AK14" s="31" t="n">
        <f aca="false">-'Driver Pay'!AK13</f>
        <v>-4500</v>
      </c>
      <c r="AL14" s="31" t="n">
        <f aca="false">-'Driver Pay'!AL13</f>
        <v>-4500</v>
      </c>
      <c r="AM14" s="50" t="n">
        <f aca="false">SUMIF($C$5:$AL$5,AM$5,$C14:$AL14)</f>
        <v>-54000</v>
      </c>
      <c r="AN14" s="50" t="n">
        <f aca="false">SUMIF($C$5:$AL$5,AN$5,$C14:$AL14)</f>
        <v>-54000</v>
      </c>
      <c r="AO14" s="50" t="n">
        <f aca="false">SUMIF($C$5:$AL$5,AO$5,$C14:$AL14)</f>
        <v>-54000</v>
      </c>
    </row>
    <row r="15" customFormat="false" ht="15" hidden="false" customHeight="false" outlineLevel="0" collapsed="false">
      <c r="A15" s="42" t="s">
        <v>444</v>
      </c>
      <c r="B15" s="43"/>
      <c r="C15" s="51" t="n">
        <f aca="false">C8+C9+C10+C12+C13+C14</f>
        <v>-19228.8515253275</v>
      </c>
      <c r="D15" s="51" t="n">
        <f aca="false">D8+D9+D10+D12+D13+D14</f>
        <v>-4890.313063789</v>
      </c>
      <c r="E15" s="51" t="n">
        <f aca="false">E8+E9+E10+E12+E13+E14</f>
        <v>-2165.15921763515</v>
      </c>
      <c r="F15" s="51" t="n">
        <f aca="false">F8+F9+F10+F12+F13+F14</f>
        <v>668.225397749462</v>
      </c>
      <c r="G15" s="51" t="n">
        <f aca="false">G8+G9+G10+G12+G13+G14</f>
        <v>1823.22539774946</v>
      </c>
      <c r="H15" s="51" t="n">
        <f aca="false">H8+H9+H10+H12+H13+H14</f>
        <v>1823.22539774946</v>
      </c>
      <c r="I15" s="51" t="n">
        <f aca="false">I8+I9+I10+I12+I13+I14</f>
        <v>1823.22539774946</v>
      </c>
      <c r="J15" s="51" t="n">
        <f aca="false">J8+J9+J10+J12+J13+J14</f>
        <v>1823.22539774946</v>
      </c>
      <c r="K15" s="51" t="n">
        <f aca="false">K8+K9+K10+K12+K13+K14</f>
        <v>1823.22539774946</v>
      </c>
      <c r="L15" s="51" t="n">
        <f aca="false">L8+L9+L10+L12+L13+L14</f>
        <v>1823.22539774946</v>
      </c>
      <c r="M15" s="51" t="n">
        <f aca="false">M8+M9+M10+M12+M13+M14</f>
        <v>1823.22539774946</v>
      </c>
      <c r="N15" s="51" t="n">
        <f aca="false">N8+N9+N10+N12+N13+N14</f>
        <v>1823.22539774946</v>
      </c>
      <c r="O15" s="51" t="n">
        <f aca="false">O8+O9+O10+O12+O13+O14</f>
        <v>-1597.34126891721</v>
      </c>
      <c r="P15" s="51" t="n">
        <f aca="false">P8+P9+P10+P12+P13+P14</f>
        <v>1869.65873108279</v>
      </c>
      <c r="Q15" s="51" t="n">
        <f aca="false">Q8+Q9+Q10+Q12+Q13+Q14</f>
        <v>1869.65873108279</v>
      </c>
      <c r="R15" s="51" t="n">
        <f aca="false">R8+R9+R10+R12+R13+R14</f>
        <v>1869.65873108279</v>
      </c>
      <c r="S15" s="51" t="n">
        <f aca="false">S8+S9+S10+S12+S13+S14</f>
        <v>1869.65873108279</v>
      </c>
      <c r="T15" s="51" t="n">
        <f aca="false">T8+T9+T10+T12+T13+T14</f>
        <v>1869.65873108279</v>
      </c>
      <c r="U15" s="51" t="n">
        <f aca="false">U8+U9+U10+U12+U13+U14</f>
        <v>1869.65873108279</v>
      </c>
      <c r="V15" s="51" t="n">
        <f aca="false">V8+V9+V10+V12+V13+V14</f>
        <v>1869.65873108279</v>
      </c>
      <c r="W15" s="51" t="n">
        <f aca="false">W8+W9+W10+W12+W13+W14</f>
        <v>1869.65873108279</v>
      </c>
      <c r="X15" s="51" t="n">
        <f aca="false">X8+X9+X10+X12+X13+X14</f>
        <v>1869.65873108279</v>
      </c>
      <c r="Y15" s="51" t="n">
        <f aca="false">Y8+Y9+Y10+Y12+Y13+Y14</f>
        <v>1869.65873108279</v>
      </c>
      <c r="Z15" s="51" t="n">
        <f aca="false">Z8+Z9+Z10+Z12+Z13+Z14</f>
        <v>1869.65873108279</v>
      </c>
      <c r="AA15" s="51" t="n">
        <f aca="false">AA8+AA9+AA10+AA12+AA13+AA14</f>
        <v>-1288.7082689172</v>
      </c>
      <c r="AB15" s="51" t="n">
        <f aca="false">AB8+AB9+AB10+AB12+AB13+AB14</f>
        <v>2187.5317310828</v>
      </c>
      <c r="AC15" s="51" t="n">
        <f aca="false">AC8+AC9+AC10+AC12+AC13+AC14</f>
        <v>2187.5317310828</v>
      </c>
      <c r="AD15" s="51" t="n">
        <f aca="false">AD8+AD9+AD10+AD12+AD13+AD14</f>
        <v>2187.5317310828</v>
      </c>
      <c r="AE15" s="51" t="n">
        <f aca="false">AE8+AE9+AE10+AE12+AE13+AE14</f>
        <v>2187.5317310828</v>
      </c>
      <c r="AF15" s="51" t="n">
        <f aca="false">AF8+AF9+AF10+AF12+AF13+AF14</f>
        <v>2187.5317310828</v>
      </c>
      <c r="AG15" s="51" t="n">
        <f aca="false">AG8+AG9+AG10+AG12+AG13+AG14</f>
        <v>2187.5317310828</v>
      </c>
      <c r="AH15" s="51" t="n">
        <f aca="false">AH8+AH9+AH10+AH12+AH13+AH14</f>
        <v>2187.5317310828</v>
      </c>
      <c r="AI15" s="51" t="n">
        <f aca="false">AI8+AI9+AI10+AI12+AI13+AI14</f>
        <v>2187.5317310828</v>
      </c>
      <c r="AJ15" s="51" t="n">
        <f aca="false">AJ8+AJ9+AJ10+AJ12+AJ13+AJ14</f>
        <v>2187.5317310828</v>
      </c>
      <c r="AK15" s="51" t="n">
        <f aca="false">AK8+AK9+AK10+AK12+AK13+AK14</f>
        <v>2187.5317310828</v>
      </c>
      <c r="AL15" s="51" t="n">
        <f aca="false">AL8+AL9+AL10+AL12+AL13+AL14</f>
        <v>2187.5317310828</v>
      </c>
      <c r="AM15" s="52" t="n">
        <f aca="false">SUMIF($C$5:$AL$5,AM$5,$C15:$AL15)</f>
        <v>-11030.2952270065</v>
      </c>
      <c r="AN15" s="52" t="n">
        <f aca="false">SUMIF($C$5:$AL$5,AN$5,$C15:$AL15)</f>
        <v>18968.9047729935</v>
      </c>
      <c r="AO15" s="52" t="n">
        <f aca="false">SUMIF($C$5:$AL$5,AO$5,$C15:$AL15)</f>
        <v>22774.1407729936</v>
      </c>
    </row>
    <row r="18" customFormat="false" ht="15" hidden="false" customHeight="false" outlineLevel="0" collapsed="false">
      <c r="A18" s="42" t="s">
        <v>445</v>
      </c>
      <c r="B18" s="43"/>
      <c r="C18" s="51" t="n">
        <f aca="false">C7+C15</f>
        <v>11471.1484746725</v>
      </c>
      <c r="D18" s="51" t="n">
        <f aca="false">D7+D15</f>
        <v>6580.83541088354</v>
      </c>
      <c r="E18" s="51" t="n">
        <f aca="false">E7+E15</f>
        <v>4415.67619324839</v>
      </c>
      <c r="F18" s="51" t="n">
        <f aca="false">F7+F15</f>
        <v>5083.90159099785</v>
      </c>
      <c r="G18" s="51" t="n">
        <f aca="false">G7+G15</f>
        <v>6907.12698874731</v>
      </c>
      <c r="H18" s="51" t="n">
        <f aca="false">H7+H15</f>
        <v>8730.35238649678</v>
      </c>
      <c r="I18" s="51" t="n">
        <f aca="false">I7+I15</f>
        <v>10553.5777842462</v>
      </c>
      <c r="J18" s="51" t="n">
        <f aca="false">J7+J15</f>
        <v>12376.8031819957</v>
      </c>
      <c r="K18" s="51" t="n">
        <f aca="false">K7+K15</f>
        <v>14200.0285797452</v>
      </c>
      <c r="L18" s="51" t="n">
        <f aca="false">L7+L15</f>
        <v>16023.2539774946</v>
      </c>
      <c r="M18" s="51" t="n">
        <f aca="false">M7+M15</f>
        <v>17846.4793752441</v>
      </c>
      <c r="N18" s="51" t="n">
        <f aca="false">N7+N15</f>
        <v>19669.7047729935</v>
      </c>
      <c r="O18" s="51" t="n">
        <f aca="false">O7+O15</f>
        <v>18072.3635040763</v>
      </c>
      <c r="P18" s="51" t="n">
        <f aca="false">P7+P15</f>
        <v>19942.0222351591</v>
      </c>
      <c r="Q18" s="51" t="n">
        <f aca="false">Q7+Q15</f>
        <v>21811.6809662419</v>
      </c>
      <c r="R18" s="51" t="n">
        <f aca="false">R7+R15</f>
        <v>23681.3396973247</v>
      </c>
      <c r="S18" s="51" t="n">
        <f aca="false">S7+S15</f>
        <v>25550.9984284075</v>
      </c>
      <c r="T18" s="51" t="n">
        <f aca="false">T7+T15</f>
        <v>27420.6571594903</v>
      </c>
      <c r="U18" s="51" t="n">
        <f aca="false">U7+U15</f>
        <v>29290.3158905731</v>
      </c>
      <c r="V18" s="51" t="n">
        <f aca="false">V7+V15</f>
        <v>31159.9746216559</v>
      </c>
      <c r="W18" s="51" t="n">
        <f aca="false">W7+W15</f>
        <v>33029.6333527387</v>
      </c>
      <c r="X18" s="51" t="n">
        <f aca="false">X7+X15</f>
        <v>34899.2920838215</v>
      </c>
      <c r="Y18" s="51" t="n">
        <f aca="false">Y7+Y15</f>
        <v>36768.9508149043</v>
      </c>
      <c r="Z18" s="51" t="n">
        <f aca="false">Z7+Z15</f>
        <v>38638.6095459871</v>
      </c>
      <c r="AA18" s="51" t="n">
        <f aca="false">AA7+AA15</f>
        <v>37349.9012770699</v>
      </c>
      <c r="AB18" s="51" t="n">
        <f aca="false">AB7+AB15</f>
        <v>39537.4330081527</v>
      </c>
      <c r="AC18" s="51" t="n">
        <f aca="false">AC7+AC15</f>
        <v>41724.9647392355</v>
      </c>
      <c r="AD18" s="51" t="n">
        <f aca="false">AD7+AD15</f>
        <v>43912.4964703183</v>
      </c>
      <c r="AE18" s="51" t="n">
        <f aca="false">AE7+AE15</f>
        <v>46100.0282014011</v>
      </c>
      <c r="AF18" s="51" t="n">
        <f aca="false">AF7+AF15</f>
        <v>48287.5599324839</v>
      </c>
      <c r="AG18" s="51" t="n">
        <f aca="false">AG7+AG15</f>
        <v>50475.0916635667</v>
      </c>
      <c r="AH18" s="51" t="n">
        <f aca="false">AH7+AH15</f>
        <v>52662.6233946495</v>
      </c>
      <c r="AI18" s="51" t="n">
        <f aca="false">AI7+AI15</f>
        <v>54850.1551257323</v>
      </c>
      <c r="AJ18" s="51" t="n">
        <f aca="false">AJ7+AJ15</f>
        <v>57037.686856815</v>
      </c>
      <c r="AK18" s="51" t="n">
        <f aca="false">AK7+AK15</f>
        <v>59225.2185878978</v>
      </c>
      <c r="AL18" s="51" t="n">
        <f aca="false">AL7+AL15</f>
        <v>61412.7503189806</v>
      </c>
      <c r="AM18" s="52" t="n">
        <f aca="false">INDEX($C18:$AL18,AM$5*12)</f>
        <v>19669.7047729935</v>
      </c>
      <c r="AN18" s="52" t="n">
        <f aca="false">INDEX($C18:$AL18,AN$5*12)</f>
        <v>38638.6095459871</v>
      </c>
      <c r="AO18" s="52" t="n">
        <f aca="false">INDEX($C18:$AL18,AO$5*12)</f>
        <v>61412.7503189806</v>
      </c>
    </row>
    <row r="19" customFormat="false" ht="15" hidden="false" customHeight="false" outlineLevel="0" collapsed="false">
      <c r="A19" s="10" t="s">
        <v>446</v>
      </c>
      <c r="B19" s="2"/>
      <c r="C19" s="67" t="str">
        <f aca="false">IF(C18&lt;0,"SHORT",IF(C18&lt;Assumptions!$C$105*Assumptions!$C$106,"LOW",""))</f>
        <v/>
      </c>
      <c r="D19" s="67" t="str">
        <f aca="false">IF(D18&lt;0,"SHORT",IF(D18&lt;Assumptions!$C$105*Assumptions!$C$106,"LOW",""))</f>
        <v>LOW</v>
      </c>
      <c r="E19" s="67" t="str">
        <f aca="false">IF(E18&lt;0,"SHORT",IF(E18&lt;Assumptions!$C$105*Assumptions!$C$106,"LOW",""))</f>
        <v>LOW</v>
      </c>
      <c r="F19" s="67" t="str">
        <f aca="false">IF(F18&lt;0,"SHORT",IF(F18&lt;Assumptions!$C$105*Assumptions!$C$106,"LOW",""))</f>
        <v>LOW</v>
      </c>
      <c r="G19" s="67" t="str">
        <f aca="false">IF(G18&lt;0,"SHORT",IF(G18&lt;Assumptions!$C$105*Assumptions!$C$106,"LOW",""))</f>
        <v>LOW</v>
      </c>
      <c r="H19" s="67" t="str">
        <f aca="false">IF(H18&lt;0,"SHORT",IF(H18&lt;Assumptions!$C$105*Assumptions!$C$106,"LOW",""))</f>
        <v/>
      </c>
      <c r="I19" s="67" t="str">
        <f aca="false">IF(I18&lt;0,"SHORT",IF(I18&lt;Assumptions!$C$105*Assumptions!$C$106,"LOW",""))</f>
        <v/>
      </c>
      <c r="J19" s="67" t="str">
        <f aca="false">IF(J18&lt;0,"SHORT",IF(J18&lt;Assumptions!$C$105*Assumptions!$C$106,"LOW",""))</f>
        <v/>
      </c>
      <c r="K19" s="67" t="str">
        <f aca="false">IF(K18&lt;0,"SHORT",IF(K18&lt;Assumptions!$C$105*Assumptions!$C$106,"LOW",""))</f>
        <v/>
      </c>
      <c r="L19" s="67" t="str">
        <f aca="false">IF(L18&lt;0,"SHORT",IF(L18&lt;Assumptions!$C$105*Assumptions!$C$106,"LOW",""))</f>
        <v/>
      </c>
      <c r="M19" s="67" t="str">
        <f aca="false">IF(M18&lt;0,"SHORT",IF(M18&lt;Assumptions!$C$105*Assumptions!$C$106,"LOW",""))</f>
        <v/>
      </c>
      <c r="N19" s="67" t="str">
        <f aca="false">IF(N18&lt;0,"SHORT",IF(N18&lt;Assumptions!$C$105*Assumptions!$C$106,"LOW",""))</f>
        <v/>
      </c>
      <c r="O19" s="67" t="str">
        <f aca="false">IF(O18&lt;0,"SHORT",IF(O18&lt;Assumptions!$C$105*Assumptions!$C$106,"LOW",""))</f>
        <v/>
      </c>
      <c r="P19" s="67" t="str">
        <f aca="false">IF(P18&lt;0,"SHORT",IF(P18&lt;Assumptions!$C$105*Assumptions!$C$106,"LOW",""))</f>
        <v/>
      </c>
      <c r="Q19" s="67" t="str">
        <f aca="false">IF(Q18&lt;0,"SHORT",IF(Q18&lt;Assumptions!$C$105*Assumptions!$C$106,"LOW",""))</f>
        <v/>
      </c>
      <c r="R19" s="67" t="str">
        <f aca="false">IF(R18&lt;0,"SHORT",IF(R18&lt;Assumptions!$C$105*Assumptions!$C$106,"LOW",""))</f>
        <v/>
      </c>
      <c r="S19" s="67" t="str">
        <f aca="false">IF(S18&lt;0,"SHORT",IF(S18&lt;Assumptions!$C$105*Assumptions!$C$106,"LOW",""))</f>
        <v/>
      </c>
      <c r="T19" s="67" t="str">
        <f aca="false">IF(T18&lt;0,"SHORT",IF(T18&lt;Assumptions!$C$105*Assumptions!$C$106,"LOW",""))</f>
        <v/>
      </c>
      <c r="U19" s="67" t="str">
        <f aca="false">IF(U18&lt;0,"SHORT",IF(U18&lt;Assumptions!$C$105*Assumptions!$C$106,"LOW",""))</f>
        <v/>
      </c>
      <c r="V19" s="67" t="str">
        <f aca="false">IF(V18&lt;0,"SHORT",IF(V18&lt;Assumptions!$C$105*Assumptions!$C$106,"LOW",""))</f>
        <v/>
      </c>
      <c r="W19" s="67" t="str">
        <f aca="false">IF(W18&lt;0,"SHORT",IF(W18&lt;Assumptions!$C$105*Assumptions!$C$106,"LOW",""))</f>
        <v/>
      </c>
      <c r="X19" s="67" t="str">
        <f aca="false">IF(X18&lt;0,"SHORT",IF(X18&lt;Assumptions!$C$105*Assumptions!$C$106,"LOW",""))</f>
        <v/>
      </c>
      <c r="Y19" s="67" t="str">
        <f aca="false">IF(Y18&lt;0,"SHORT",IF(Y18&lt;Assumptions!$C$105*Assumptions!$C$106,"LOW",""))</f>
        <v/>
      </c>
      <c r="Z19" s="67" t="str">
        <f aca="false">IF(Z18&lt;0,"SHORT",IF(Z18&lt;Assumptions!$C$105*Assumptions!$C$106,"LOW",""))</f>
        <v/>
      </c>
      <c r="AA19" s="67" t="str">
        <f aca="false">IF(AA18&lt;0,"SHORT",IF(AA18&lt;Assumptions!$C$105*Assumptions!$C$106,"LOW",""))</f>
        <v/>
      </c>
      <c r="AB19" s="67" t="str">
        <f aca="false">IF(AB18&lt;0,"SHORT",IF(AB18&lt;Assumptions!$C$105*Assumptions!$C$106,"LOW",""))</f>
        <v/>
      </c>
      <c r="AC19" s="67" t="str">
        <f aca="false">IF(AC18&lt;0,"SHORT",IF(AC18&lt;Assumptions!$C$105*Assumptions!$C$106,"LOW",""))</f>
        <v/>
      </c>
      <c r="AD19" s="67" t="str">
        <f aca="false">IF(AD18&lt;0,"SHORT",IF(AD18&lt;Assumptions!$C$105*Assumptions!$C$106,"LOW",""))</f>
        <v/>
      </c>
      <c r="AE19" s="67" t="str">
        <f aca="false">IF(AE18&lt;0,"SHORT",IF(AE18&lt;Assumptions!$C$105*Assumptions!$C$106,"LOW",""))</f>
        <v/>
      </c>
      <c r="AF19" s="67" t="str">
        <f aca="false">IF(AF18&lt;0,"SHORT",IF(AF18&lt;Assumptions!$C$105*Assumptions!$C$106,"LOW",""))</f>
        <v/>
      </c>
      <c r="AG19" s="67" t="str">
        <f aca="false">IF(AG18&lt;0,"SHORT",IF(AG18&lt;Assumptions!$C$105*Assumptions!$C$106,"LOW",""))</f>
        <v/>
      </c>
      <c r="AH19" s="67" t="str">
        <f aca="false">IF(AH18&lt;0,"SHORT",IF(AH18&lt;Assumptions!$C$105*Assumptions!$C$106,"LOW",""))</f>
        <v/>
      </c>
      <c r="AI19" s="67" t="str">
        <f aca="false">IF(AI18&lt;0,"SHORT",IF(AI18&lt;Assumptions!$C$105*Assumptions!$C$106,"LOW",""))</f>
        <v/>
      </c>
      <c r="AJ19" s="67" t="str">
        <f aca="false">IF(AJ18&lt;0,"SHORT",IF(AJ18&lt;Assumptions!$C$105*Assumptions!$C$106,"LOW",""))</f>
        <v/>
      </c>
      <c r="AK19" s="67" t="str">
        <f aca="false">IF(AK18&lt;0,"SHORT",IF(AK18&lt;Assumptions!$C$105*Assumptions!$C$106,"LOW",""))</f>
        <v/>
      </c>
      <c r="AL19" s="67" t="str">
        <f aca="false">IF(AL18&lt;0,"SHORT",IF(AL18&lt;Assumptions!$C$105*Assumptions!$C$106,"LOW",""))</f>
        <v/>
      </c>
    </row>
    <row r="20" customFormat="false" ht="15" hidden="false" customHeight="false" outlineLevel="0" collapsed="false">
      <c r="A20" s="10" t="s">
        <v>447</v>
      </c>
      <c r="B20" s="2"/>
      <c r="C20" s="31" t="n">
        <f aca="false">Revenue!C22-C11</f>
        <v>13860</v>
      </c>
      <c r="D20" s="31" t="n">
        <f aca="false">Revenue!D22-D11</f>
        <v>4620</v>
      </c>
      <c r="E20" s="31" t="n">
        <f aca="false">Revenue!E22-E11</f>
        <v>3465</v>
      </c>
      <c r="F20" s="31" t="n">
        <f aca="false">Revenue!F22-F11</f>
        <v>1155</v>
      </c>
      <c r="G20" s="31" t="n">
        <f aca="false">Revenue!G22-G11</f>
        <v>0</v>
      </c>
      <c r="H20" s="31" t="n">
        <f aca="false">Revenue!H22-H11</f>
        <v>0</v>
      </c>
      <c r="I20" s="31" t="n">
        <f aca="false">Revenue!I22-I11</f>
        <v>0</v>
      </c>
      <c r="J20" s="31" t="n">
        <f aca="false">Revenue!J22-J11</f>
        <v>0</v>
      </c>
      <c r="K20" s="31" t="n">
        <f aca="false">Revenue!K22-K11</f>
        <v>0</v>
      </c>
      <c r="L20" s="31" t="n">
        <f aca="false">Revenue!L22-L11</f>
        <v>0</v>
      </c>
      <c r="M20" s="31" t="n">
        <f aca="false">Revenue!M22-M11</f>
        <v>0</v>
      </c>
      <c r="N20" s="31" t="n">
        <f aca="false">Revenue!N22-N11</f>
        <v>0</v>
      </c>
      <c r="O20" s="31" t="n">
        <f aca="false">Revenue!O22-O11</f>
        <v>462</v>
      </c>
      <c r="P20" s="31" t="n">
        <f aca="false">Revenue!P22-P11</f>
        <v>0</v>
      </c>
      <c r="Q20" s="31" t="n">
        <f aca="false">Revenue!Q22-Q11</f>
        <v>0</v>
      </c>
      <c r="R20" s="31" t="n">
        <f aca="false">Revenue!R22-R11</f>
        <v>0</v>
      </c>
      <c r="S20" s="31" t="n">
        <f aca="false">Revenue!S22-S11</f>
        <v>0</v>
      </c>
      <c r="T20" s="31" t="n">
        <f aca="false">Revenue!T22-T11</f>
        <v>0</v>
      </c>
      <c r="U20" s="31" t="n">
        <f aca="false">Revenue!U22-U11</f>
        <v>0</v>
      </c>
      <c r="V20" s="31" t="n">
        <f aca="false">Revenue!V22-V11</f>
        <v>0</v>
      </c>
      <c r="W20" s="31" t="n">
        <f aca="false">Revenue!W22-W11</f>
        <v>0</v>
      </c>
      <c r="X20" s="31" t="n">
        <f aca="false">Revenue!X22-X11</f>
        <v>0</v>
      </c>
      <c r="Y20" s="31" t="n">
        <f aca="false">Revenue!Y22-Y11</f>
        <v>0</v>
      </c>
      <c r="Z20" s="31" t="n">
        <f aca="false">Revenue!Z22-Z11</f>
        <v>0</v>
      </c>
      <c r="AA20" s="31" t="n">
        <f aca="false">Revenue!AA22-AA11</f>
        <v>471.240000000002</v>
      </c>
      <c r="AB20" s="31" t="n">
        <f aca="false">Revenue!AB22-AB11</f>
        <v>0</v>
      </c>
      <c r="AC20" s="31" t="n">
        <f aca="false">Revenue!AC22-AC11</f>
        <v>0</v>
      </c>
      <c r="AD20" s="31" t="n">
        <f aca="false">Revenue!AD22-AD11</f>
        <v>0</v>
      </c>
      <c r="AE20" s="31" t="n">
        <f aca="false">Revenue!AE22-AE11</f>
        <v>0</v>
      </c>
      <c r="AF20" s="31" t="n">
        <f aca="false">Revenue!AF22-AF11</f>
        <v>0</v>
      </c>
      <c r="AG20" s="31" t="n">
        <f aca="false">Revenue!AG22-AG11</f>
        <v>0</v>
      </c>
      <c r="AH20" s="31" t="n">
        <f aca="false">Revenue!AH22-AH11</f>
        <v>0</v>
      </c>
      <c r="AI20" s="31" t="n">
        <f aca="false">Revenue!AI22-AI11</f>
        <v>0</v>
      </c>
      <c r="AJ20" s="31" t="n">
        <f aca="false">Revenue!AJ22-AJ11</f>
        <v>0</v>
      </c>
      <c r="AK20" s="31" t="n">
        <f aca="false">Revenue!AK22-AK11</f>
        <v>0</v>
      </c>
      <c r="AL20" s="31" t="n">
        <f aca="false">Revenue!AL22-AL11</f>
        <v>0</v>
      </c>
      <c r="AM20" s="50" t="n">
        <f aca="false">INDEX($C20:$AL20,AM$5*12)</f>
        <v>0</v>
      </c>
      <c r="AN20" s="50" t="n">
        <f aca="false">INDEX($C20:$AL20,AN$5*12)</f>
        <v>0</v>
      </c>
      <c r="AO20" s="50" t="n">
        <f aca="false">INDEX($C20:$AL20,AO$5*12)</f>
        <v>0</v>
      </c>
    </row>
  </sheetData>
  <printOptions headings="false" gridLines="false" gridLinesSet="true" horizontalCentered="false" verticalCentered="false"/>
  <pageMargins left="0.75" right="0.75" top="1" bottom="1" header="0.511811023622047" footer="0.511811023622047"/>
  <pageSetup paperSize="1" scale="100" fitToWidth="0" fitToHeight="1"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8" min="3" style="0" width="13"/>
    <col collapsed="false" customWidth="true" hidden="false" outlineLevel="0" max="9" min="9" style="0" width="40"/>
  </cols>
  <sheetData>
    <row r="1" customFormat="false" ht="17.35" hidden="false" customHeight="false" outlineLevel="0" collapsed="false">
      <c r="B1" s="1" t="s">
        <v>448</v>
      </c>
    </row>
    <row r="2" customFormat="false" ht="15" hidden="false" customHeight="false" outlineLevel="0" collapsed="false">
      <c r="B2" s="2" t="s">
        <v>449</v>
      </c>
    </row>
    <row r="4" customFormat="false" ht="15" hidden="false" customHeight="false" outlineLevel="0" collapsed="false">
      <c r="B4" s="6" t="s">
        <v>450</v>
      </c>
      <c r="C4" s="39" t="s">
        <v>451</v>
      </c>
      <c r="D4" s="39" t="s">
        <v>452</v>
      </c>
      <c r="E4" s="39" t="s">
        <v>453</v>
      </c>
      <c r="F4" s="39" t="s">
        <v>454</v>
      </c>
      <c r="G4" s="39" t="s">
        <v>455</v>
      </c>
      <c r="H4" s="39" t="s">
        <v>456</v>
      </c>
      <c r="I4" s="6" t="s">
        <v>457</v>
      </c>
    </row>
    <row r="5" customFormat="false" ht="15" hidden="false" customHeight="false" outlineLevel="0" collapsed="false">
      <c r="B5" s="40" t="s">
        <v>458</v>
      </c>
    </row>
    <row r="6" customFormat="false" ht="15" hidden="false" customHeight="false" outlineLevel="0" collapsed="false">
      <c r="B6" s="10" t="s">
        <v>331</v>
      </c>
      <c r="C6" s="48" t="n">
        <f aca="false">IF(Revenue!AM9=0,0,('Operating Costs'!AM12)/Revenue!AM9)</f>
        <v>0.923076923076923</v>
      </c>
      <c r="D6" s="48" t="n">
        <f aca="false">IF(Revenue!AN9=0,0,('Operating Costs'!AN12)/Revenue!AN9)</f>
        <v>0.923076923076923</v>
      </c>
      <c r="E6" s="48" t="n">
        <f aca="false">IF(Revenue!AO9=0,0,('Operating Costs'!AO12)/Revenue!AO9)</f>
        <v>0.923076923076923</v>
      </c>
      <c r="F6" s="48" t="n">
        <f aca="false">IF(Revenue!AM11=0,0,('Operating Costs'!AM12)/Revenue!AM11)</f>
        <v>1.04895104895105</v>
      </c>
      <c r="G6" s="48" t="n">
        <f aca="false">IF(Revenue!AN11=0,0,('Operating Costs'!AN12)/Revenue!AN11)</f>
        <v>1.04895104895105</v>
      </c>
      <c r="H6" s="48" t="n">
        <f aca="false">IF(Revenue!AO11=0,0,('Operating Costs'!AO12)/Revenue!AO11)</f>
        <v>1.04895104895105</v>
      </c>
      <c r="I6" s="2" t="s">
        <v>459</v>
      </c>
    </row>
    <row r="7" customFormat="false" ht="15" hidden="false" customHeight="false" outlineLevel="0" collapsed="false">
      <c r="B7" s="10" t="s">
        <v>137</v>
      </c>
      <c r="C7" s="48" t="n">
        <f aca="false">IF(Revenue!AM9=0,0,('Operating Costs'!AM13)/Revenue!AM9)</f>
        <v>0.2</v>
      </c>
      <c r="D7" s="48" t="n">
        <f aca="false">IF(Revenue!AN9=0,0,('Operating Costs'!AN13)/Revenue!AN9)</f>
        <v>0.206</v>
      </c>
      <c r="E7" s="48" t="n">
        <f aca="false">IF(Revenue!AO9=0,0,('Operating Costs'!AO13)/Revenue!AO9)</f>
        <v>0.21218</v>
      </c>
      <c r="F7" s="48" t="n">
        <f aca="false">IF(Revenue!AM11=0,0,('Operating Costs'!AM13)/Revenue!AM11)</f>
        <v>0.227272727272727</v>
      </c>
      <c r="G7" s="48" t="n">
        <f aca="false">IF(Revenue!AN11=0,0,('Operating Costs'!AN13)/Revenue!AN11)</f>
        <v>0.234090909090909</v>
      </c>
      <c r="H7" s="48" t="n">
        <f aca="false">IF(Revenue!AO11=0,0,('Operating Costs'!AO13)/Revenue!AO11)</f>
        <v>0.241113636363636</v>
      </c>
      <c r="I7" s="2" t="s">
        <v>459</v>
      </c>
    </row>
    <row r="8" customFormat="false" ht="15" hidden="false" customHeight="false" outlineLevel="0" collapsed="false">
      <c r="B8" s="10" t="s">
        <v>139</v>
      </c>
      <c r="C8" s="48" t="n">
        <f aca="false">IF(Revenue!AM9=0,0,('Operating Costs'!AM14)/Revenue!AM9)</f>
        <v>0.05</v>
      </c>
      <c r="D8" s="48" t="n">
        <f aca="false">IF(Revenue!AN9=0,0,('Operating Costs'!AN14)/Revenue!AN9)</f>
        <v>0.0515</v>
      </c>
      <c r="E8" s="48" t="n">
        <f aca="false">IF(Revenue!AO9=0,0,('Operating Costs'!AO14)/Revenue!AO9)</f>
        <v>0.053045</v>
      </c>
      <c r="F8" s="48" t="n">
        <f aca="false">IF(Revenue!AM11=0,0,('Operating Costs'!AM14)/Revenue!AM11)</f>
        <v>0.0568181818181818</v>
      </c>
      <c r="G8" s="48" t="n">
        <f aca="false">IF(Revenue!AN11=0,0,('Operating Costs'!AN14)/Revenue!AN11)</f>
        <v>0.0585227272727273</v>
      </c>
      <c r="H8" s="48" t="n">
        <f aca="false">IF(Revenue!AO11=0,0,('Operating Costs'!AO14)/Revenue!AO11)</f>
        <v>0.0602784090909091</v>
      </c>
      <c r="I8" s="2" t="s">
        <v>459</v>
      </c>
    </row>
    <row r="9" customFormat="false" ht="15" hidden="false" customHeight="false" outlineLevel="0" collapsed="false">
      <c r="B9" s="10" t="s">
        <v>140</v>
      </c>
      <c r="C9" s="48" t="n">
        <f aca="false">IF(Revenue!AM9=0,0,('Operating Costs'!AM15)/Revenue!AM9)</f>
        <v>0.03</v>
      </c>
      <c r="D9" s="48" t="n">
        <f aca="false">IF(Revenue!AN9=0,0,('Operating Costs'!AN15)/Revenue!AN9)</f>
        <v>0.0309</v>
      </c>
      <c r="E9" s="48" t="n">
        <f aca="false">IF(Revenue!AO9=0,0,('Operating Costs'!AO15)/Revenue!AO9)</f>
        <v>0.031827</v>
      </c>
      <c r="F9" s="48" t="n">
        <f aca="false">IF(Revenue!AM11=0,0,('Operating Costs'!AM15)/Revenue!AM11)</f>
        <v>0.0340909090909091</v>
      </c>
      <c r="G9" s="48" t="n">
        <f aca="false">IF(Revenue!AN11=0,0,('Operating Costs'!AN15)/Revenue!AN11)</f>
        <v>0.0351136363636364</v>
      </c>
      <c r="H9" s="48" t="n">
        <f aca="false">IF(Revenue!AO11=0,0,('Operating Costs'!AO15)/Revenue!AO11)</f>
        <v>0.0361670454545455</v>
      </c>
      <c r="I9" s="2" t="s">
        <v>459</v>
      </c>
    </row>
    <row r="10" customFormat="false" ht="15" hidden="false" customHeight="false" outlineLevel="0" collapsed="false">
      <c r="B10" s="10" t="s">
        <v>332</v>
      </c>
      <c r="C10" s="48" t="n">
        <f aca="false">IF(Revenue!AM9=0,0,('Operating Costs'!AM16)/Revenue!AM9)</f>
        <v>0</v>
      </c>
      <c r="D10" s="48" t="n">
        <f aca="false">IF(Revenue!AN9=0,0,('Operating Costs'!AN16)/Revenue!AN9)</f>
        <v>0</v>
      </c>
      <c r="E10" s="48" t="n">
        <f aca="false">IF(Revenue!AO9=0,0,('Operating Costs'!AO16)/Revenue!AO9)</f>
        <v>0</v>
      </c>
      <c r="F10" s="48" t="n">
        <f aca="false">IF(Revenue!AM11=0,0,('Operating Costs'!AM16)/Revenue!AM11)</f>
        <v>0</v>
      </c>
      <c r="G10" s="48" t="n">
        <f aca="false">IF(Revenue!AN11=0,0,('Operating Costs'!AN16)/Revenue!AN11)</f>
        <v>0</v>
      </c>
      <c r="H10" s="48" t="n">
        <f aca="false">IF(Revenue!AO11=0,0,('Operating Costs'!AO16)/Revenue!AO11)</f>
        <v>0</v>
      </c>
      <c r="I10" s="2" t="s">
        <v>459</v>
      </c>
    </row>
    <row r="11" customFormat="false" ht="15" hidden="false" customHeight="false" outlineLevel="0" collapsed="false">
      <c r="B11" s="10" t="s">
        <v>333</v>
      </c>
      <c r="C11" s="48" t="n">
        <f aca="false">IF(Revenue!AM9=0,0,('Operating Costs'!AM17)/Revenue!AM9)</f>
        <v>0</v>
      </c>
      <c r="D11" s="48" t="n">
        <f aca="false">IF(Revenue!AN9=0,0,('Operating Costs'!AN17)/Revenue!AN9)</f>
        <v>0</v>
      </c>
      <c r="E11" s="48" t="n">
        <f aca="false">IF(Revenue!AO9=0,0,('Operating Costs'!AO17)/Revenue!AO9)</f>
        <v>0</v>
      </c>
      <c r="F11" s="48" t="n">
        <f aca="false">IF(Revenue!AM11=0,0,('Operating Costs'!AM17)/Revenue!AM11)</f>
        <v>0</v>
      </c>
      <c r="G11" s="48" t="n">
        <f aca="false">IF(Revenue!AN11=0,0,('Operating Costs'!AN17)/Revenue!AN11)</f>
        <v>0</v>
      </c>
      <c r="H11" s="48" t="n">
        <f aca="false">IF(Revenue!AO11=0,0,('Operating Costs'!AO17)/Revenue!AO11)</f>
        <v>0</v>
      </c>
      <c r="I11" s="2" t="s">
        <v>459</v>
      </c>
    </row>
    <row r="12" customFormat="false" ht="15" hidden="false" customHeight="false" outlineLevel="0" collapsed="false">
      <c r="B12" s="10" t="s">
        <v>418</v>
      </c>
      <c r="C12" s="48" t="n">
        <f aca="false">IF(Revenue!AM9=0,0,('Driver Pay'!AM11)/Revenue!AM9)</f>
        <v>0</v>
      </c>
      <c r="D12" s="48" t="n">
        <f aca="false">IF(Revenue!AN9=0,0,('Driver Pay'!AN11)/Revenue!AN9)</f>
        <v>0</v>
      </c>
      <c r="E12" s="48" t="n">
        <f aca="false">IF(Revenue!AO9=0,0,('Driver Pay'!AO11)/Revenue!AO9)</f>
        <v>0</v>
      </c>
      <c r="F12" s="48" t="n">
        <f aca="false">IF(Revenue!AM11=0,0,('Driver Pay'!AM11)/Revenue!AM11)</f>
        <v>0</v>
      </c>
      <c r="G12" s="48" t="n">
        <f aca="false">IF(Revenue!AN11=0,0,('Driver Pay'!AN11)/Revenue!AN11)</f>
        <v>0</v>
      </c>
      <c r="H12" s="48" t="n">
        <f aca="false">IF(Revenue!AO11=0,0,('Driver Pay'!AO11)/Revenue!AO11)</f>
        <v>0</v>
      </c>
      <c r="I12" s="2" t="s">
        <v>459</v>
      </c>
    </row>
    <row r="13" customFormat="false" ht="15" hidden="false" customHeight="false" outlineLevel="0" collapsed="false">
      <c r="B13" s="10" t="s">
        <v>422</v>
      </c>
      <c r="C13" s="48" t="n">
        <f aca="false">IF(Revenue!AM9=0,0,('Operating Costs'!AM32)/Revenue!AM9)</f>
        <v>0</v>
      </c>
      <c r="D13" s="48" t="n">
        <f aca="false">IF(Revenue!AN9=0,0,('Operating Costs'!AN32)/Revenue!AN9)</f>
        <v>0</v>
      </c>
      <c r="E13" s="48" t="n">
        <f aca="false">IF(Revenue!AO9=0,0,('Operating Costs'!AO32)/Revenue!AO9)</f>
        <v>0</v>
      </c>
      <c r="F13" s="48" t="n">
        <f aca="false">IF(Revenue!AM11=0,0,('Operating Costs'!AM32)/Revenue!AM11)</f>
        <v>0</v>
      </c>
      <c r="G13" s="48" t="n">
        <f aca="false">IF(Revenue!AN11=0,0,('Operating Costs'!AN32)/Revenue!AN11)</f>
        <v>0</v>
      </c>
      <c r="H13" s="48" t="n">
        <f aca="false">IF(Revenue!AO11=0,0,('Operating Costs'!AO32)/Revenue!AO11)</f>
        <v>0</v>
      </c>
      <c r="I13" s="2" t="s">
        <v>460</v>
      </c>
    </row>
    <row r="14" customFormat="false" ht="15" hidden="false" customHeight="false" outlineLevel="0" collapsed="false">
      <c r="B14" s="3" t="s">
        <v>461</v>
      </c>
      <c r="C14" s="68" t="n">
        <f aca="false">IF(Revenue!AM9=0,0,('Operating Costs'!AM18+'Driver Pay'!AM11+'Operating Costs'!AM32)/Revenue!AM9)</f>
        <v>1.20307692307692</v>
      </c>
      <c r="D14" s="68" t="n">
        <f aca="false">IF(Revenue!AN9=0,0,('Operating Costs'!AN18+'Driver Pay'!AN11+'Operating Costs'!AN32)/Revenue!AN9)</f>
        <v>1.21147692307692</v>
      </c>
      <c r="E14" s="68" t="n">
        <f aca="false">IF(Revenue!AO9=0,0,('Operating Costs'!AO18+'Driver Pay'!AO11+'Operating Costs'!AO32)/Revenue!AO9)</f>
        <v>1.22012892307692</v>
      </c>
      <c r="F14" s="68" t="n">
        <f aca="false">IF(Revenue!AM11=0,0,('Operating Costs'!AM18+'Driver Pay'!AM11+'Operating Costs'!AM32)/Revenue!AM11)</f>
        <v>1.36713286713287</v>
      </c>
      <c r="G14" s="68" t="n">
        <f aca="false">IF(Revenue!AN11=0,0,('Operating Costs'!AN18+'Driver Pay'!AN11+'Operating Costs'!AN32)/Revenue!AN11)</f>
        <v>1.37667832167832</v>
      </c>
      <c r="H14" s="68" t="n">
        <f aca="false">IF(Revenue!AO11=0,0,('Operating Costs'!AO18+'Driver Pay'!AO11+'Operating Costs'!AO32)/Revenue!AO11)</f>
        <v>1.38651013986014</v>
      </c>
      <c r="I14" s="2"/>
    </row>
    <row r="16" customFormat="false" ht="15" hidden="false" customHeight="false" outlineLevel="0" collapsed="false">
      <c r="B16" s="40" t="s">
        <v>335</v>
      </c>
    </row>
    <row r="17" customFormat="false" ht="15" hidden="false" customHeight="false" outlineLevel="0" collapsed="false">
      <c r="B17" s="10" t="s">
        <v>419</v>
      </c>
      <c r="C17" s="48" t="n">
        <f aca="false">IF(Revenue!AM9=0,0,('Operating Costs'!AM21)/Revenue!AM9)</f>
        <v>0.13425634571009</v>
      </c>
      <c r="D17" s="48" t="n">
        <f aca="false">IF(Revenue!AN9=0,0,('Operating Costs'!AN21)/Revenue!AN9)</f>
        <v>0.130793650793651</v>
      </c>
      <c r="E17" s="48" t="n">
        <f aca="false">IF(Revenue!AO9=0,0,('Operating Costs'!AO21)/Revenue!AO9)</f>
        <v>0.13471746031746</v>
      </c>
      <c r="F17" s="48" t="n">
        <f aca="false">IF(Revenue!AM11=0,0,('Operating Costs'!AM21)/Revenue!AM11)</f>
        <v>0.152564029216012</v>
      </c>
      <c r="G17" s="48" t="n">
        <f aca="false">IF(Revenue!AN11=0,0,('Operating Costs'!AN21)/Revenue!AN11)</f>
        <v>0.148629148629149</v>
      </c>
      <c r="H17" s="48" t="n">
        <f aca="false">IF(Revenue!AO11=0,0,('Operating Costs'!AO21)/Revenue!AO11)</f>
        <v>0.153088023088023</v>
      </c>
      <c r="I17" s="2" t="s">
        <v>462</v>
      </c>
    </row>
    <row r="18" customFormat="false" ht="15" hidden="false" customHeight="false" outlineLevel="0" collapsed="false">
      <c r="B18" s="10" t="s">
        <v>420</v>
      </c>
      <c r="C18" s="48" t="n">
        <f aca="false">IF(Revenue!AM9=0,0,('Operating Costs'!AM22)/Revenue!AM9)</f>
        <v>0.0252150199286763</v>
      </c>
      <c r="D18" s="48" t="n">
        <f aca="false">IF(Revenue!AN9=0,0,('Operating Costs'!AN22)/Revenue!AN9)</f>
        <v>0.0238492063492064</v>
      </c>
      <c r="E18" s="48" t="n">
        <f aca="false">IF(Revenue!AO9=0,0,('Operating Costs'!AO22)/Revenue!AO9)</f>
        <v>0.0238492063492064</v>
      </c>
      <c r="F18" s="48" t="n">
        <f aca="false">IF(Revenue!AM11=0,0,('Operating Costs'!AM22)/Revenue!AM11)</f>
        <v>0.0286534317371322</v>
      </c>
      <c r="G18" s="48" t="n">
        <f aca="false">IF(Revenue!AN11=0,0,('Operating Costs'!AN22)/Revenue!AN11)</f>
        <v>0.0271013708513709</v>
      </c>
      <c r="H18" s="48" t="n">
        <f aca="false">IF(Revenue!AO11=0,0,('Operating Costs'!AO22)/Revenue!AO11)</f>
        <v>0.0271013708513709</v>
      </c>
      <c r="I18" s="2" t="s">
        <v>462</v>
      </c>
    </row>
    <row r="19" customFormat="false" ht="15" hidden="false" customHeight="false" outlineLevel="0" collapsed="false">
      <c r="B19" s="10" t="s">
        <v>421</v>
      </c>
      <c r="C19" s="48" t="n">
        <f aca="false">IF(Revenue!AM9=0,0,('Operating Costs'!AM27-'Operating Costs'!AM21-'Operating Costs'!AM22)/Revenue!AM9)</f>
        <v>0.0694776589049717</v>
      </c>
      <c r="D19" s="48" t="n">
        <f aca="false">IF(Revenue!AN9=0,0,('Operating Costs'!AN27-'Operating Costs'!AN21-'Operating Costs'!AN22)/Revenue!AN9)</f>
        <v>0.0676857142857143</v>
      </c>
      <c r="E19" s="48" t="n">
        <f aca="false">IF(Revenue!AO9=0,0,('Operating Costs'!AO27-'Operating Costs'!AO21-'Operating Costs'!AO22)/Revenue!AO9)</f>
        <v>0.0697162857142857</v>
      </c>
      <c r="F19" s="48" t="n">
        <f aca="false">IF(Revenue!AM11=0,0,('Operating Costs'!AM27-'Operating Costs'!AM21-'Operating Costs'!AM22)/Revenue!AM11)</f>
        <v>0.078951885119286</v>
      </c>
      <c r="G19" s="48" t="n">
        <f aca="false">IF(Revenue!AN11=0,0,('Operating Costs'!AN27-'Operating Costs'!AN21-'Operating Costs'!AN22)/Revenue!AN11)</f>
        <v>0.0769155844155844</v>
      </c>
      <c r="H19" s="48" t="n">
        <f aca="false">IF(Revenue!AO11=0,0,('Operating Costs'!AO27-'Operating Costs'!AO21-'Operating Costs'!AO22)/Revenue!AO11)</f>
        <v>0.079223051948052</v>
      </c>
      <c r="I19" s="2" t="s">
        <v>462</v>
      </c>
    </row>
    <row r="20" customFormat="false" ht="15" hidden="false" customHeight="false" outlineLevel="0" collapsed="false">
      <c r="B20" s="10" t="s">
        <v>463</v>
      </c>
      <c r="C20" s="48" t="n">
        <f aca="false">IF(Revenue!AM9=0,0,('P&amp;L'!AM20)/Revenue!AM9)</f>
        <v>0.161107614852108</v>
      </c>
      <c r="D20" s="48" t="n">
        <f aca="false">IF(Revenue!AN9=0,0,('P&amp;L'!AN20)/Revenue!AN9)</f>
        <v>0.152380952380952</v>
      </c>
      <c r="E20" s="48" t="n">
        <f aca="false">IF(Revenue!AO9=0,0,('P&amp;L'!AO20)/Revenue!AO9)</f>
        <v>0.152380952380952</v>
      </c>
      <c r="F20" s="48" t="n">
        <f aca="false">IF(Revenue!AM11=0,0,('P&amp;L'!AM20)/Revenue!AM11)</f>
        <v>0.183076835059214</v>
      </c>
      <c r="G20" s="48" t="n">
        <f aca="false">IF(Revenue!AN11=0,0,('P&amp;L'!AN20)/Revenue!AN11)</f>
        <v>0.173160173160173</v>
      </c>
      <c r="H20" s="48" t="n">
        <f aca="false">IF(Revenue!AO11=0,0,('P&amp;L'!AO20)/Revenue!AO11)</f>
        <v>0.173160173160173</v>
      </c>
      <c r="I20" s="2" t="s">
        <v>462</v>
      </c>
    </row>
    <row r="21" customFormat="false" ht="15" hidden="false" customHeight="false" outlineLevel="0" collapsed="false">
      <c r="B21" s="10" t="s">
        <v>464</v>
      </c>
      <c r="C21" s="48" t="n">
        <f aca="false">IF(Revenue!AM9=0,0,('P&amp;L'!AM21)/Revenue!AM9)</f>
        <v>0.0923572906727198</v>
      </c>
      <c r="D21" s="48" t="n">
        <f aca="false">IF(Revenue!AN9=0,0,('P&amp;L'!AN21)/Revenue!AN9)</f>
        <v>0.0715692764870357</v>
      </c>
      <c r="E21" s="48" t="n">
        <f aca="false">IF(Revenue!AO9=0,0,('P&amp;L'!AO21)/Revenue!AO9)</f>
        <v>0.0540014432252131</v>
      </c>
      <c r="F21" s="48" t="n">
        <f aca="false">IF(Revenue!AM11=0,0,('P&amp;L'!AM21)/Revenue!AM11)</f>
        <v>0.104951466673545</v>
      </c>
      <c r="G21" s="48" t="n">
        <f aca="false">IF(Revenue!AN11=0,0,('P&amp;L'!AN21)/Revenue!AN11)</f>
        <v>0.0813287232807224</v>
      </c>
      <c r="H21" s="48" t="n">
        <f aca="false">IF(Revenue!AO11=0,0,('P&amp;L'!AO21)/Revenue!AO11)</f>
        <v>0.0613652763922876</v>
      </c>
      <c r="I21" s="2" t="s">
        <v>462</v>
      </c>
    </row>
    <row r="22" customFormat="false" ht="15" hidden="false" customHeight="false" outlineLevel="0" collapsed="false">
      <c r="B22" s="3" t="s">
        <v>465</v>
      </c>
      <c r="C22" s="68" t="n">
        <f aca="false">IF(Revenue!AM9=0,0,('Operating Costs'!AM27+'P&amp;L'!AM20+'P&amp;L'!AM21)/Revenue!AM9)</f>
        <v>0.482413930068566</v>
      </c>
      <c r="D22" s="68" t="n">
        <f aca="false">IF(Revenue!AN9=0,0,('Operating Costs'!AN27+'P&amp;L'!AN20+'P&amp;L'!AN21)/Revenue!AN9)</f>
        <v>0.44627880029656</v>
      </c>
      <c r="E22" s="68" t="n">
        <f aca="false">IF(Revenue!AO9=0,0,('Operating Costs'!AO27+'P&amp;L'!AO20+'P&amp;L'!AO21)/Revenue!AO9)</f>
        <v>0.434665347987118</v>
      </c>
      <c r="F22" s="68" t="n">
        <f aca="false">IF(Revenue!AM11=0,0,('Operating Costs'!AM27+'P&amp;L'!AM20+'P&amp;L'!AM21)/Revenue!AM11)</f>
        <v>0.548197647805189</v>
      </c>
      <c r="G22" s="68" t="n">
        <f aca="false">IF(Revenue!AN11=0,0,('Operating Costs'!AN27+'P&amp;L'!AN20+'P&amp;L'!AN21)/Revenue!AN11)</f>
        <v>0.507135000336999</v>
      </c>
      <c r="H22" s="68" t="n">
        <f aca="false">IF(Revenue!AO11=0,0,('Operating Costs'!AO27+'P&amp;L'!AO20+'P&amp;L'!AO21)/Revenue!AO11)</f>
        <v>0.493937895439907</v>
      </c>
      <c r="I22" s="2"/>
    </row>
    <row r="24" customFormat="false" ht="15" hidden="false" customHeight="false" outlineLevel="0" collapsed="false">
      <c r="B24" s="3" t="s">
        <v>466</v>
      </c>
      <c r="C24" s="68" t="n">
        <f aca="false">IF(Revenue!AM9=0,0,('P&amp;L'!AM17+'P&amp;L'!AM20+'P&amp;L'!AM21)/Revenue!AM9)</f>
        <v>1.68549085314549</v>
      </c>
      <c r="D24" s="68" t="n">
        <f aca="false">IF(Revenue!AN9=0,0,('P&amp;L'!AN17+'P&amp;L'!AN20+'P&amp;L'!AN21)/Revenue!AN9)</f>
        <v>1.65775572337348</v>
      </c>
      <c r="E24" s="68" t="n">
        <f aca="false">IF(Revenue!AO9=0,0,('P&amp;L'!AO17+'P&amp;L'!AO20+'P&amp;L'!AO21)/Revenue!AO9)</f>
        <v>1.65479427106404</v>
      </c>
      <c r="F24" s="68" t="n">
        <f aca="false">IF(Revenue!AM11=0,0,('P&amp;L'!AM17+'P&amp;L'!AM20+'P&amp;L'!AM21)/Revenue!AM11)</f>
        <v>1.91533051493806</v>
      </c>
      <c r="G24" s="68" t="n">
        <f aca="false">IF(Revenue!AN11=0,0,('P&amp;L'!AN17+'P&amp;L'!AN20+'P&amp;L'!AN21)/Revenue!AN11)</f>
        <v>1.88381332201532</v>
      </c>
      <c r="H24" s="68" t="n">
        <f aca="false">IF(Revenue!AO11=0,0,('P&amp;L'!AO17+'P&amp;L'!AO20+'P&amp;L'!AO21)/Revenue!AO11)</f>
        <v>1.88044803530005</v>
      </c>
      <c r="I24" s="2"/>
    </row>
    <row r="25" customFormat="false" ht="15" hidden="false" customHeight="false" outlineLevel="0" collapsed="false">
      <c r="B25" s="3" t="s">
        <v>467</v>
      </c>
      <c r="C25" s="68" t="n">
        <f aca="false">IF(Revenue!AM9=0,0,('P&amp;L'!AM17+'P&amp;L'!AM21-'Cash Flow'!AM13-'Cash Flow'!AM14)/Revenue!AM9)</f>
        <v>2.12557411560316</v>
      </c>
      <c r="D25" s="68" t="n">
        <f aca="false">IF(Revenue!AN9=0,0,('P&amp;L'!AN17+'P&amp;L'!AN21-'Cash Flow'!AN13-'Cash Flow'!AN14)/Revenue!AN9)</f>
        <v>2.08978647005561</v>
      </c>
      <c r="E25" s="68" t="n">
        <f aca="false">IF(Revenue!AO9=0,0,('P&amp;L'!AO17+'P&amp;L'!AO21-'Cash Flow'!AO13-'Cash Flow'!AO14)/Revenue!AO9)</f>
        <v>2.10439285100799</v>
      </c>
      <c r="F25" s="68" t="n">
        <f aca="false">IF(Revenue!AM11=0,0,('P&amp;L'!AM17+'P&amp;L'!AM21-'Cash Flow'!AM13-'Cash Flow'!AM14)/Revenue!AM11)</f>
        <v>2.41542513136723</v>
      </c>
      <c r="G25" s="68" t="n">
        <f aca="false">IF(Revenue!AN11=0,0,('P&amp;L'!AN17+'P&amp;L'!AN21-'Cash Flow'!AN13-'Cash Flow'!AN14)/Revenue!AN11)</f>
        <v>2.37475735233592</v>
      </c>
      <c r="H25" s="68" t="n">
        <f aca="false">IF(Revenue!AO11=0,0,('P&amp;L'!AO17+'P&amp;L'!AO21-'Cash Flow'!AO13-'Cash Flow'!AO14)/Revenue!AO11)</f>
        <v>2.39135551250908</v>
      </c>
      <c r="I25" s="2"/>
    </row>
    <row r="26" customFormat="false" ht="15" hidden="false" customHeight="false" outlineLevel="0" collapsed="false">
      <c r="B26" s="10" t="s">
        <v>468</v>
      </c>
      <c r="C26" s="48" t="n">
        <f aca="false">IF(Revenue!AM9=0,0,(Revenue!AM22)/Revenue!AM9)</f>
        <v>2.2</v>
      </c>
      <c r="D26" s="48" t="n">
        <f aca="false">IF(Revenue!AN9=0,0,(Revenue!AN22)/Revenue!AN9)</f>
        <v>2.244</v>
      </c>
      <c r="E26" s="48" t="n">
        <f aca="false">IF(Revenue!AO9=0,0,(Revenue!AO22)/Revenue!AO9)</f>
        <v>2.28888</v>
      </c>
      <c r="F26" s="48" t="n">
        <f aca="false">IF(Revenue!AM11=0,0,(Revenue!AM22)/Revenue!AM11)</f>
        <v>2.5</v>
      </c>
      <c r="G26" s="48" t="n">
        <f aca="false">IF(Revenue!AN11=0,0,(Revenue!AN22)/Revenue!AN11)</f>
        <v>2.55</v>
      </c>
      <c r="H26" s="48" t="n">
        <f aca="false">IF(Revenue!AO11=0,0,(Revenue!AO22)/Revenue!AO11)</f>
        <v>2.601</v>
      </c>
      <c r="I26" s="2"/>
    </row>
    <row r="27" customFormat="false" ht="15" hidden="false" customHeight="false" outlineLevel="0" collapsed="false">
      <c r="B27" s="10" t="s">
        <v>469</v>
      </c>
      <c r="C27" s="48" t="n">
        <f aca="false">IF(Revenue!AM9=0,0,('P&amp;L'!AM22)/Revenue!AM9)</f>
        <v>0.514509146854511</v>
      </c>
      <c r="D27" s="48" t="n">
        <f aca="false">IF(Revenue!AN9=0,0,('P&amp;L'!AN22)/Revenue!AN9)</f>
        <v>0.586244276626517</v>
      </c>
      <c r="E27" s="48" t="n">
        <f aca="false">IF(Revenue!AO9=0,0,('P&amp;L'!AO22)/Revenue!AO9)</f>
        <v>0.634085728935959</v>
      </c>
      <c r="F27" s="48" t="n">
        <f aca="false">IF(Revenue!AM11=0,0,('P&amp;L'!AM22)/Revenue!AM11)</f>
        <v>0.584669485061944</v>
      </c>
      <c r="G27" s="48" t="n">
        <f aca="false">IF(Revenue!AN11=0,0,('P&amp;L'!AN22)/Revenue!AN11)</f>
        <v>0.666186677984679</v>
      </c>
      <c r="H27" s="48" t="n">
        <f aca="false">IF(Revenue!AO11=0,0,('P&amp;L'!AO22)/Revenue!AO11)</f>
        <v>0.720551964699954</v>
      </c>
      <c r="I27" s="2"/>
    </row>
    <row r="29" customFormat="false" ht="15" hidden="false" customHeight="false" outlineLevel="0" collapsed="false">
      <c r="B29" s="2" t="s">
        <v>470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4" min="3" style="0" width="18"/>
    <col collapsed="false" customWidth="true" hidden="false" outlineLevel="0" max="5" min="5" style="0" width="56"/>
  </cols>
  <sheetData>
    <row r="1" customFormat="false" ht="17.35" hidden="false" customHeight="false" outlineLevel="0" collapsed="false">
      <c r="B1" s="1" t="s">
        <v>471</v>
      </c>
    </row>
    <row r="2" customFormat="false" ht="15" hidden="false" customHeight="false" outlineLevel="0" collapsed="false">
      <c r="B2" s="2" t="s">
        <v>472</v>
      </c>
    </row>
    <row r="4" customFormat="false" ht="15" hidden="false" customHeight="false" outlineLevel="0" collapsed="false">
      <c r="B4" s="6" t="s">
        <v>307</v>
      </c>
      <c r="C4" s="6" t="s">
        <v>473</v>
      </c>
      <c r="D4" s="6" t="s">
        <v>474</v>
      </c>
      <c r="E4" s="6" t="s">
        <v>475</v>
      </c>
    </row>
    <row r="5" customFormat="false" ht="15" hidden="false" customHeight="false" outlineLevel="0" collapsed="false">
      <c r="B5" s="10" t="s">
        <v>476</v>
      </c>
      <c r="C5" s="32" t="n">
        <f aca="false">Revenue!AM9</f>
        <v>119175</v>
      </c>
      <c r="D5" s="32" t="n">
        <f aca="false">Revenue!AM9</f>
        <v>119175</v>
      </c>
      <c r="E5" s="2" t="s">
        <v>477</v>
      </c>
    </row>
    <row r="6" customFormat="false" ht="15" hidden="false" customHeight="false" outlineLevel="0" collapsed="false">
      <c r="B6" s="10" t="s">
        <v>478</v>
      </c>
      <c r="C6" s="32" t="n">
        <f aca="false">Revenue!AM11</f>
        <v>104874</v>
      </c>
      <c r="D6" s="32" t="n">
        <f aca="false">Revenue!AM11</f>
        <v>104874</v>
      </c>
      <c r="E6" s="2" t="s">
        <v>477</v>
      </c>
    </row>
    <row r="7" customFormat="false" ht="15" hidden="false" customHeight="false" outlineLevel="0" collapsed="false">
      <c r="B7" s="10" t="s">
        <v>479</v>
      </c>
      <c r="C7" s="31" t="n">
        <f aca="false">'Operating Costs'!AM18+'Driver Pay'!AM11</f>
        <v>143376.692307692</v>
      </c>
      <c r="D7" s="31" t="n">
        <f aca="false">'Operating Costs'!AM18+'Driver Pay'!AM11</f>
        <v>143376.692307692</v>
      </c>
      <c r="E7" s="2" t="s">
        <v>480</v>
      </c>
    </row>
    <row r="8" customFormat="false" ht="15" hidden="false" customHeight="false" outlineLevel="0" collapsed="false">
      <c r="B8" s="10" t="s">
        <v>481</v>
      </c>
      <c r="C8" s="48" t="n">
        <f aca="false">IF(C5=0,0,C7/C5)</f>
        <v>1.20307692307692</v>
      </c>
      <c r="D8" s="48" t="n">
        <f aca="false">IF(D5=0,0,D7/D5)</f>
        <v>1.20307692307692</v>
      </c>
      <c r="E8" s="2"/>
    </row>
    <row r="9" customFormat="false" ht="15" hidden="false" customHeight="false" outlineLevel="0" collapsed="false">
      <c r="B9" s="10" t="s">
        <v>482</v>
      </c>
      <c r="C9" s="31" t="n">
        <f aca="false">'Operating Costs'!AM27</f>
        <v>27285</v>
      </c>
      <c r="D9" s="31" t="n">
        <f aca="false">'Operating Costs'!AM27</f>
        <v>27285</v>
      </c>
      <c r="E9" s="2"/>
    </row>
    <row r="10" customFormat="false" ht="15" hidden="false" customHeight="false" outlineLevel="0" collapsed="false">
      <c r="B10" s="10" t="s">
        <v>463</v>
      </c>
      <c r="C10" s="31" t="n">
        <f aca="false">'P&amp;L'!AM20</f>
        <v>19200</v>
      </c>
      <c r="D10" s="31" t="n">
        <f aca="false">0</f>
        <v>0</v>
      </c>
      <c r="E10" s="2" t="s">
        <v>483</v>
      </c>
    </row>
    <row r="11" customFormat="false" ht="15" hidden="false" customHeight="false" outlineLevel="0" collapsed="false">
      <c r="B11" s="10" t="s">
        <v>464</v>
      </c>
      <c r="C11" s="31" t="n">
        <f aca="false">'P&amp;L'!AM21</f>
        <v>11006.6801159214</v>
      </c>
      <c r="D11" s="31" t="n">
        <f aca="false">'P&amp;L'!AM21</f>
        <v>11006.6801159214</v>
      </c>
      <c r="E11" s="2"/>
    </row>
    <row r="12" customFormat="false" ht="15" hidden="false" customHeight="false" outlineLevel="0" collapsed="false">
      <c r="B12" s="10" t="s">
        <v>484</v>
      </c>
      <c r="C12" s="31" t="n">
        <f aca="false">0</f>
        <v>0</v>
      </c>
      <c r="D12" s="31" t="n">
        <f aca="false">-'Cash Flow'!AM13</f>
        <v>17646.9228033928</v>
      </c>
      <c r="E12" s="2" t="s">
        <v>485</v>
      </c>
    </row>
    <row r="13" customFormat="false" ht="15" hidden="false" customHeight="false" outlineLevel="0" collapsed="false">
      <c r="B13" s="10" t="s">
        <v>486</v>
      </c>
      <c r="C13" s="31" t="n">
        <f aca="false">0</f>
        <v>0</v>
      </c>
      <c r="D13" s="31" t="n">
        <f aca="false">-'Cash Flow'!AM14</f>
        <v>54000</v>
      </c>
      <c r="E13" s="2" t="s">
        <v>485</v>
      </c>
    </row>
    <row r="14" customFormat="false" ht="15" hidden="false" customHeight="false" outlineLevel="0" collapsed="false">
      <c r="B14" s="3" t="s">
        <v>487</v>
      </c>
      <c r="C14" s="69" t="n">
        <f aca="false">SUM(C9:C13)</f>
        <v>57491.6801159214</v>
      </c>
      <c r="D14" s="69" t="n">
        <f aca="false">SUM(D9:D13)</f>
        <v>109938.602919314</v>
      </c>
      <c r="E14" s="2"/>
    </row>
    <row r="15" customFormat="false" ht="15" hidden="false" customHeight="false" outlineLevel="0" collapsed="false">
      <c r="B15" s="3" t="s">
        <v>488</v>
      </c>
      <c r="C15" s="69" t="n">
        <f aca="false">C7+C14</f>
        <v>200868.372423614</v>
      </c>
      <c r="D15" s="69" t="n">
        <f aca="false">D7+D14</f>
        <v>253315.295227006</v>
      </c>
      <c r="E15" s="2" t="s">
        <v>489</v>
      </c>
    </row>
    <row r="16" customFormat="false" ht="15" hidden="false" customHeight="false" outlineLevel="0" collapsed="false">
      <c r="B16" s="10" t="s">
        <v>490</v>
      </c>
      <c r="C16" s="28" t="n">
        <f aca="false">Assumptions!$C$136*(1-Assumptions!$C$137)</f>
        <v>1</v>
      </c>
      <c r="D16" s="28" t="n">
        <f aca="false">Assumptions!$C$136*(1-Assumptions!$C$137)</f>
        <v>1</v>
      </c>
      <c r="E16" s="2" t="s">
        <v>491</v>
      </c>
    </row>
    <row r="18" customFormat="false" ht="15" hidden="false" customHeight="false" outlineLevel="0" collapsed="false">
      <c r="B18" s="3" t="s">
        <v>492</v>
      </c>
      <c r="C18" s="70" t="n">
        <f aca="false">IF(OR(C6=0,C16=0),"n/a",C15/(C16*C6)-Assumptions!$C$25)</f>
        <v>1.91533051493806</v>
      </c>
      <c r="D18" s="70" t="n">
        <f aca="false">IF(OR(D6=0,D16=0),"n/a",D15/(D16*D6)-Assumptions!$C$25)</f>
        <v>2.41542513136723</v>
      </c>
      <c r="E18" s="2" t="s">
        <v>493</v>
      </c>
    </row>
    <row r="19" customFormat="false" ht="15" hidden="false" customHeight="false" outlineLevel="0" collapsed="false">
      <c r="B19" s="10" t="s">
        <v>494</v>
      </c>
      <c r="C19" s="48" t="n">
        <f aca="false">Assumptions!$C$24</f>
        <v>2.5</v>
      </c>
      <c r="D19" s="48" t="n">
        <f aca="false">Assumptions!$C$24</f>
        <v>2.5</v>
      </c>
      <c r="E19" s="2" t="s">
        <v>495</v>
      </c>
    </row>
    <row r="20" customFormat="false" ht="15" hidden="false" customHeight="false" outlineLevel="0" collapsed="false">
      <c r="B20" s="3" t="s">
        <v>496</v>
      </c>
      <c r="C20" s="71" t="n">
        <f aca="false">IF(OR(ISTEXT(C18),C19=0),"n/a",(C19-C18)/C19)</f>
        <v>0.233867794024778</v>
      </c>
      <c r="D20" s="71" t="n">
        <f aca="false">IF(OR(ISTEXT(D18),D19=0),"n/a",(D19-D18)/D19)</f>
        <v>0.0338299474531096</v>
      </c>
      <c r="E20" s="2" t="s">
        <v>497</v>
      </c>
    </row>
    <row r="21" customFormat="false" ht="15" hidden="false" customHeight="false" outlineLevel="0" collapsed="false">
      <c r="B21" s="10" t="s">
        <v>498</v>
      </c>
      <c r="C21" s="34" t="str">
        <f aca="false">IF(ISTEXT(C20),"n/a",IF(C20&gt;=0,"Covers it","Short"))</f>
        <v>Covers it</v>
      </c>
      <c r="D21" s="34" t="str">
        <f aca="false">IF(ISTEXT(D20),"n/a",IF(D20&gt;=0,"Covers it","Short"))</f>
        <v>Covers it</v>
      </c>
      <c r="E21" s="2"/>
    </row>
    <row r="23" customFormat="false" ht="15" hidden="false" customHeight="false" outlineLevel="0" collapsed="false">
      <c r="B23" s="10" t="s">
        <v>499</v>
      </c>
      <c r="C23" s="32" t="n">
        <f aca="false">C6/12</f>
        <v>8739.5</v>
      </c>
      <c r="D23" s="32" t="n">
        <f aca="false">D6/12</f>
        <v>8739.5</v>
      </c>
      <c r="E23" s="2"/>
    </row>
    <row r="24" customFormat="false" ht="15" hidden="false" customHeight="false" outlineLevel="0" collapsed="false">
      <c r="B24" s="10" t="s">
        <v>500</v>
      </c>
      <c r="C24" s="48" t="n">
        <f aca="false">(Assumptions!$C$24+Assumptions!$C$25)*C16-IF(C6=0,0,C8*C5/C6)</f>
        <v>1.13286713286713</v>
      </c>
      <c r="D24" s="48" t="n">
        <f aca="false">(Assumptions!$C$24+Assumptions!$C$25)*D16-IF(D6=0,0,D8*D5/D6)</f>
        <v>1.13286713286713</v>
      </c>
      <c r="E24" s="2" t="s">
        <v>501</v>
      </c>
    </row>
    <row r="25" customFormat="false" ht="15" hidden="false" customHeight="false" outlineLevel="0" collapsed="false">
      <c r="B25" s="3" t="s">
        <v>502</v>
      </c>
      <c r="C25" s="72" t="n">
        <f aca="false">IF(C24&lt;=0,"never: each mile loses money",C14/12/C24)</f>
        <v>4229.06906202508</v>
      </c>
      <c r="D25" s="72" t="n">
        <f aca="false">IF(D24&lt;=0,"never: each mile loses money",D14/12/D24)</f>
        <v>8087.04743696601</v>
      </c>
      <c r="E25" s="2" t="s">
        <v>503</v>
      </c>
    </row>
    <row r="27" customFormat="false" ht="15" hidden="false" customHeight="false" outlineLevel="0" collapsed="false">
      <c r="B27" s="40" t="s">
        <v>504</v>
      </c>
      <c r="C27" s="41"/>
      <c r="D27" s="41"/>
      <c r="E27" s="41"/>
    </row>
    <row r="28" customFormat="false" ht="15" hidden="false" customHeight="false" outlineLevel="0" collapsed="false">
      <c r="B28" s="10" t="s">
        <v>505</v>
      </c>
      <c r="C28" s="31" t="n">
        <f aca="false">IF(ISTEXT(C18),0,(C18+Assumptions!$C$25)*C16*C6)</f>
        <v>200868.372423614</v>
      </c>
      <c r="D28" s="31" t="n">
        <f aca="false">IF(ISTEXT(D18),0,(D18+Assumptions!$C$25)*D16*D6)</f>
        <v>253315.295227006</v>
      </c>
      <c r="E28" s="2"/>
    </row>
    <row r="29" customFormat="false" ht="15" hidden="false" customHeight="false" outlineLevel="0" collapsed="false">
      <c r="B29" s="10" t="s">
        <v>506</v>
      </c>
      <c r="C29" s="30" t="n">
        <f aca="false">C28-C15</f>
        <v>0</v>
      </c>
      <c r="D29" s="30" t="n">
        <f aca="false">D28-D15</f>
        <v>0</v>
      </c>
      <c r="E29" s="2"/>
    </row>
    <row r="31" customFormat="false" ht="15" hidden="false" customHeight="false" outlineLevel="0" collapsed="false">
      <c r="B31" s="2" t="s">
        <v>507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1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4" topLeftCell="B15" activePane="bottomRight" state="frozen"/>
      <selection pane="topLeft" activeCell="A1" activeCellId="0" sqref="A1"/>
      <selection pane="topRight" activeCell="B1" activeCellId="0" sqref="B1"/>
      <selection pane="bottomLeft" activeCell="A15" activeCellId="0" sqref="A15"/>
      <selection pane="bottomRigh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10"/>
    <col collapsed="false" customWidth="true" hidden="false" outlineLevel="0" max="3" min="3" style="0" width="14"/>
    <col collapsed="false" customWidth="true" hidden="false" outlineLevel="0" max="6" min="4" style="0" width="12"/>
    <col collapsed="false" customWidth="true" hidden="false" outlineLevel="0" max="7" min="7" style="0" width="14"/>
    <col collapsed="false" customWidth="true" hidden="false" outlineLevel="0" max="8" min="8" style="0" width="3"/>
    <col collapsed="false" customWidth="true" hidden="false" outlineLevel="0" max="9" min="9" style="0" width="10"/>
    <col collapsed="false" customWidth="true" hidden="false" outlineLevel="0" max="10" min="10" style="0" width="14"/>
    <col collapsed="false" customWidth="true" hidden="false" outlineLevel="0" max="13" min="11" style="0" width="12"/>
    <col collapsed="false" customWidth="true" hidden="false" outlineLevel="0" max="14" min="14" style="0" width="14"/>
  </cols>
  <sheetData>
    <row r="1" customFormat="false" ht="17.35" hidden="false" customHeight="false" outlineLevel="0" collapsed="false">
      <c r="B1" s="1" t="s">
        <v>508</v>
      </c>
    </row>
    <row r="2" customFormat="false" ht="15" hidden="false" customHeight="false" outlineLevel="0" collapsed="false">
      <c r="B2" s="2" t="s">
        <v>509</v>
      </c>
    </row>
    <row r="4" customFormat="false" ht="15" hidden="false" customHeight="false" outlineLevel="0" collapsed="false">
      <c r="B4" s="40" t="s">
        <v>510</v>
      </c>
      <c r="C4" s="41"/>
      <c r="D4" s="41"/>
      <c r="E4" s="41"/>
      <c r="F4" s="41"/>
      <c r="G4" s="41"/>
      <c r="I4" s="40" t="s">
        <v>511</v>
      </c>
      <c r="J4" s="41"/>
      <c r="K4" s="41"/>
      <c r="L4" s="41"/>
      <c r="M4" s="41"/>
      <c r="N4" s="41"/>
    </row>
    <row r="5" customFormat="false" ht="15" hidden="false" customHeight="false" outlineLevel="0" collapsed="false">
      <c r="B5" s="10" t="s">
        <v>512</v>
      </c>
      <c r="F5" s="65" t="n">
        <f aca="false">Assumptions!$C$145</f>
        <v>80750</v>
      </c>
      <c r="I5" s="10" t="s">
        <v>512</v>
      </c>
      <c r="M5" s="65" t="n">
        <f aca="false">Assumptions!$C$146</f>
        <v>29750</v>
      </c>
    </row>
    <row r="6" customFormat="false" ht="15" hidden="false" customHeight="false" outlineLevel="0" collapsed="false">
      <c r="B6" s="10" t="s">
        <v>513</v>
      </c>
      <c r="F6" s="73" t="n">
        <f aca="false">Assumptions!$C$86</f>
        <v>0.11</v>
      </c>
      <c r="I6" s="10" t="s">
        <v>513</v>
      </c>
      <c r="M6" s="73" t="n">
        <f aca="false">Assumptions!$C$88</f>
        <v>0.1</v>
      </c>
    </row>
    <row r="7" customFormat="false" ht="15" hidden="false" customHeight="false" outlineLevel="0" collapsed="false">
      <c r="B7" s="10" t="s">
        <v>514</v>
      </c>
      <c r="F7" s="32" t="n">
        <f aca="false">Assumptions!$C$87*12</f>
        <v>60</v>
      </c>
      <c r="I7" s="10" t="s">
        <v>514</v>
      </c>
      <c r="M7" s="32" t="n">
        <f aca="false">Assumptions!$C$89*12</f>
        <v>60</v>
      </c>
    </row>
    <row r="8" customFormat="false" ht="15" hidden="false" customHeight="false" outlineLevel="0" collapsed="false">
      <c r="B8" s="3" t="s">
        <v>515</v>
      </c>
      <c r="F8" s="74" t="n">
        <f aca="false">IF(OR(F5&lt;=0,F7&lt;=0),0,IF(F6=0,F5/F7,PMT(F6/12,F7,-F5)))</f>
        <v>1755.70066311595</v>
      </c>
      <c r="I8" s="3" t="s">
        <v>515</v>
      </c>
      <c r="M8" s="74" t="n">
        <f aca="false">IF(OR(M5&lt;=0,M7&lt;=0),0,IF(M6=0,M5/M7,PMT(M6/12,M7,-M5)))</f>
        <v>632.099580160231</v>
      </c>
    </row>
    <row r="9" customFormat="false" ht="15" hidden="false" customHeight="false" outlineLevel="0" collapsed="false">
      <c r="B9" s="10" t="s">
        <v>516</v>
      </c>
      <c r="F9" s="31" t="n">
        <f aca="false">SUM(D15:D26)</f>
        <v>21068.4079573914</v>
      </c>
      <c r="I9" s="10" t="s">
        <v>516</v>
      </c>
      <c r="M9" s="31" t="n">
        <f aca="false">SUM(K15:K26)</f>
        <v>7585.19496192277</v>
      </c>
    </row>
    <row r="10" customFormat="false" ht="15" hidden="false" customHeight="false" outlineLevel="0" collapsed="false">
      <c r="B10" s="10" t="s">
        <v>517</v>
      </c>
      <c r="F10" s="31" t="n">
        <f aca="false">SUM(D27:D38)</f>
        <v>21068.4079573914</v>
      </c>
      <c r="I10" s="10" t="s">
        <v>517</v>
      </c>
      <c r="M10" s="31" t="n">
        <f aca="false">SUM(K27:K38)</f>
        <v>7585.19496192277</v>
      </c>
    </row>
    <row r="11" customFormat="false" ht="15" hidden="false" customHeight="false" outlineLevel="0" collapsed="false">
      <c r="B11" s="10" t="s">
        <v>518</v>
      </c>
      <c r="F11" s="31" t="n">
        <f aca="false">SUM(D39:D50)</f>
        <v>21068.4079573914</v>
      </c>
      <c r="I11" s="10" t="s">
        <v>518</v>
      </c>
      <c r="M11" s="31" t="n">
        <f aca="false">SUM(K39:K50)</f>
        <v>7585.19496192277</v>
      </c>
    </row>
    <row r="12" customFormat="false" ht="15" hidden="false" customHeight="false" outlineLevel="0" collapsed="false">
      <c r="B12" s="10" t="s">
        <v>519</v>
      </c>
      <c r="F12" s="31" t="n">
        <f aca="false">G50</f>
        <v>37669.643799245</v>
      </c>
      <c r="I12" s="10" t="s">
        <v>519</v>
      </c>
      <c r="M12" s="31" t="n">
        <f aca="false">N50</f>
        <v>13698.1382424773</v>
      </c>
    </row>
    <row r="13" customFormat="false" ht="15" hidden="false" customHeight="false" outlineLevel="0" collapsed="false">
      <c r="B13" s="2" t="s">
        <v>520</v>
      </c>
    </row>
    <row r="14" customFormat="false" ht="15" hidden="false" customHeight="false" outlineLevel="0" collapsed="false">
      <c r="B14" s="75" t="s">
        <v>303</v>
      </c>
      <c r="C14" s="75" t="s">
        <v>521</v>
      </c>
      <c r="D14" s="75" t="s">
        <v>522</v>
      </c>
      <c r="E14" s="75" t="s">
        <v>523</v>
      </c>
      <c r="F14" s="75" t="s">
        <v>524</v>
      </c>
      <c r="G14" s="75" t="s">
        <v>525</v>
      </c>
      <c r="I14" s="75" t="s">
        <v>303</v>
      </c>
      <c r="J14" s="75" t="s">
        <v>521</v>
      </c>
      <c r="K14" s="75" t="s">
        <v>522</v>
      </c>
      <c r="L14" s="75" t="s">
        <v>523</v>
      </c>
      <c r="M14" s="75" t="s">
        <v>524</v>
      </c>
      <c r="N14" s="75" t="s">
        <v>525</v>
      </c>
    </row>
    <row r="15" customFormat="false" ht="15" hidden="false" customHeight="false" outlineLevel="0" collapsed="false">
      <c r="B15" s="32" t="n">
        <v>1</v>
      </c>
      <c r="C15" s="30" t="n">
        <f aca="false">$F$5</f>
        <v>80750</v>
      </c>
      <c r="D15" s="30" t="n">
        <f aca="false">E15+F15</f>
        <v>1755.70066311595</v>
      </c>
      <c r="E15" s="30" t="n">
        <f aca="false">IF(B15&lt;=$F$7,C15*$F$6/12,0)</f>
        <v>740.208333333333</v>
      </c>
      <c r="F15" s="30" t="n">
        <f aca="false">IF(B15&lt;=$F$7,MIN($F$8-E15,C15),0)</f>
        <v>1015.49232978261</v>
      </c>
      <c r="G15" s="30" t="n">
        <f aca="false">C15-F15</f>
        <v>79734.5076702174</v>
      </c>
      <c r="I15" s="32" t="n">
        <v>1</v>
      </c>
      <c r="J15" s="30" t="n">
        <f aca="false">$M$5</f>
        <v>29750</v>
      </c>
      <c r="K15" s="30" t="n">
        <f aca="false">L15+M15</f>
        <v>632.099580160231</v>
      </c>
      <c r="L15" s="30" t="n">
        <f aca="false">IF(I15&lt;=$M$7,J15*$M$6/12,0)</f>
        <v>247.916666666667</v>
      </c>
      <c r="M15" s="30" t="n">
        <f aca="false">IF(I15&lt;=$M$7,MIN($M$8-L15,J15),0)</f>
        <v>384.182913493565</v>
      </c>
      <c r="N15" s="30" t="n">
        <f aca="false">J15-M15</f>
        <v>29365.8170865064</v>
      </c>
    </row>
    <row r="16" customFormat="false" ht="15" hidden="false" customHeight="false" outlineLevel="0" collapsed="false">
      <c r="B16" s="32" t="n">
        <v>2</v>
      </c>
      <c r="C16" s="30" t="n">
        <f aca="false">G15</f>
        <v>79734.5076702174</v>
      </c>
      <c r="D16" s="30" t="n">
        <f aca="false">E16+F16</f>
        <v>1755.70066311595</v>
      </c>
      <c r="E16" s="30" t="n">
        <f aca="false">IF(B16&lt;=$F$7,C16*$F$6/12,0)</f>
        <v>730.899653643659</v>
      </c>
      <c r="F16" s="30" t="n">
        <f aca="false">IF(B16&lt;=$F$7,MIN($F$8-E16,C16),0)</f>
        <v>1024.80100947229</v>
      </c>
      <c r="G16" s="30" t="n">
        <f aca="false">C16-F16</f>
        <v>78709.7066607451</v>
      </c>
      <c r="I16" s="32" t="n">
        <v>2</v>
      </c>
      <c r="J16" s="30" t="n">
        <f aca="false">N15</f>
        <v>29365.8170865064</v>
      </c>
      <c r="K16" s="30" t="n">
        <f aca="false">L16+M16</f>
        <v>632.099580160231</v>
      </c>
      <c r="L16" s="30" t="n">
        <f aca="false">IF(I16&lt;=$M$7,J16*$M$6/12,0)</f>
        <v>244.715142387554</v>
      </c>
      <c r="M16" s="30" t="n">
        <f aca="false">IF(I16&lt;=$M$7,MIN($M$8-L16,J16),0)</f>
        <v>387.384437772678</v>
      </c>
      <c r="N16" s="30" t="n">
        <f aca="false">J16-M16</f>
        <v>28978.4326487338</v>
      </c>
    </row>
    <row r="17" customFormat="false" ht="15" hidden="false" customHeight="false" outlineLevel="0" collapsed="false">
      <c r="B17" s="32" t="n">
        <v>3</v>
      </c>
      <c r="C17" s="30" t="n">
        <f aca="false">G16</f>
        <v>78709.7066607451</v>
      </c>
      <c r="D17" s="30" t="n">
        <f aca="false">E17+F17</f>
        <v>1755.70066311595</v>
      </c>
      <c r="E17" s="30" t="n">
        <f aca="false">IF(B17&lt;=$F$7,C17*$F$6/12,0)</f>
        <v>721.505644390163</v>
      </c>
      <c r="F17" s="30" t="n">
        <f aca="false">IF(B17&lt;=$F$7,MIN($F$8-E17,C17),0)</f>
        <v>1034.19501872578</v>
      </c>
      <c r="G17" s="30" t="n">
        <f aca="false">C17-F17</f>
        <v>77675.5116420193</v>
      </c>
      <c r="I17" s="32" t="n">
        <v>3</v>
      </c>
      <c r="J17" s="30" t="n">
        <f aca="false">N16</f>
        <v>28978.4326487338</v>
      </c>
      <c r="K17" s="30" t="n">
        <f aca="false">L17+M17</f>
        <v>632.099580160231</v>
      </c>
      <c r="L17" s="30" t="n">
        <f aca="false">IF(I17&lt;=$M$7,J17*$M$6/12,0)</f>
        <v>241.486938739448</v>
      </c>
      <c r="M17" s="30" t="n">
        <f aca="false">IF(I17&lt;=$M$7,MIN($M$8-L17,J17),0)</f>
        <v>390.612641420783</v>
      </c>
      <c r="N17" s="30" t="n">
        <f aca="false">J17-M17</f>
        <v>28587.820007313</v>
      </c>
    </row>
    <row r="18" customFormat="false" ht="15" hidden="false" customHeight="false" outlineLevel="0" collapsed="false">
      <c r="B18" s="32" t="n">
        <v>4</v>
      </c>
      <c r="C18" s="30" t="n">
        <f aca="false">G17</f>
        <v>77675.5116420193</v>
      </c>
      <c r="D18" s="30" t="n">
        <f aca="false">E18+F18</f>
        <v>1755.70066311595</v>
      </c>
      <c r="E18" s="30" t="n">
        <f aca="false">IF(B18&lt;=$F$7,C18*$F$6/12,0)</f>
        <v>712.025523385177</v>
      </c>
      <c r="F18" s="30" t="n">
        <f aca="false">IF(B18&lt;=$F$7,MIN($F$8-E18,C18),0)</f>
        <v>1043.67513973077</v>
      </c>
      <c r="G18" s="30" t="n">
        <f aca="false">C18-F18</f>
        <v>76631.8365022885</v>
      </c>
      <c r="I18" s="32" t="n">
        <v>4</v>
      </c>
      <c r="J18" s="30" t="n">
        <f aca="false">N17</f>
        <v>28587.820007313</v>
      </c>
      <c r="K18" s="30" t="n">
        <f aca="false">L18+M18</f>
        <v>632.099580160231</v>
      </c>
      <c r="L18" s="30" t="n">
        <f aca="false">IF(I18&lt;=$M$7,J18*$M$6/12,0)</f>
        <v>238.231833394275</v>
      </c>
      <c r="M18" s="30" t="n">
        <f aca="false">IF(I18&lt;=$M$7,MIN($M$8-L18,J18),0)</f>
        <v>393.867746765956</v>
      </c>
      <c r="N18" s="30" t="n">
        <f aca="false">J18-M18</f>
        <v>28193.952260547</v>
      </c>
    </row>
    <row r="19" customFormat="false" ht="15" hidden="false" customHeight="false" outlineLevel="0" collapsed="false">
      <c r="B19" s="32" t="n">
        <v>5</v>
      </c>
      <c r="C19" s="30" t="n">
        <f aca="false">G18</f>
        <v>76631.8365022885</v>
      </c>
      <c r="D19" s="30" t="n">
        <f aca="false">E19+F19</f>
        <v>1755.70066311595</v>
      </c>
      <c r="E19" s="30" t="n">
        <f aca="false">IF(B19&lt;=$F$7,C19*$F$6/12,0)</f>
        <v>702.458501270978</v>
      </c>
      <c r="F19" s="30" t="n">
        <f aca="false">IF(B19&lt;=$F$7,MIN($F$8-E19,C19),0)</f>
        <v>1053.24216184497</v>
      </c>
      <c r="G19" s="30" t="n">
        <f aca="false">C19-F19</f>
        <v>75578.5943404436</v>
      </c>
      <c r="I19" s="32" t="n">
        <v>5</v>
      </c>
      <c r="J19" s="30" t="n">
        <f aca="false">N18</f>
        <v>28193.952260547</v>
      </c>
      <c r="K19" s="30" t="n">
        <f aca="false">L19+M19</f>
        <v>632.099580160231</v>
      </c>
      <c r="L19" s="30" t="n">
        <f aca="false">IF(I19&lt;=$M$7,J19*$M$6/12,0)</f>
        <v>234.949602171225</v>
      </c>
      <c r="M19" s="30" t="n">
        <f aca="false">IF(I19&lt;=$M$7,MIN($M$8-L19,J19),0)</f>
        <v>397.149977989006</v>
      </c>
      <c r="N19" s="30" t="n">
        <f aca="false">J19-M19</f>
        <v>27796.802282558</v>
      </c>
    </row>
    <row r="20" customFormat="false" ht="15" hidden="false" customHeight="false" outlineLevel="0" collapsed="false">
      <c r="B20" s="32" t="n">
        <v>6</v>
      </c>
      <c r="C20" s="30" t="n">
        <f aca="false">G19</f>
        <v>75578.5943404436</v>
      </c>
      <c r="D20" s="30" t="n">
        <f aca="false">E20+F20</f>
        <v>1755.70066311595</v>
      </c>
      <c r="E20" s="30" t="n">
        <f aca="false">IF(B20&lt;=$F$7,C20*$F$6/12,0)</f>
        <v>692.803781454066</v>
      </c>
      <c r="F20" s="30" t="n">
        <f aca="false">IF(B20&lt;=$F$7,MIN($F$8-E20,C20),0)</f>
        <v>1062.89688166188</v>
      </c>
      <c r="G20" s="30" t="n">
        <f aca="false">C20-F20</f>
        <v>74515.6974587817</v>
      </c>
      <c r="I20" s="32" t="n">
        <v>6</v>
      </c>
      <c r="J20" s="30" t="n">
        <f aca="false">N19</f>
        <v>27796.802282558</v>
      </c>
      <c r="K20" s="30" t="n">
        <f aca="false">L20+M20</f>
        <v>632.099580160231</v>
      </c>
      <c r="L20" s="30" t="n">
        <f aca="false">IF(I20&lt;=$M$7,J20*$M$6/12,0)</f>
        <v>231.640019021317</v>
      </c>
      <c r="M20" s="30" t="n">
        <f aca="false">IF(I20&lt;=$M$7,MIN($M$8-L20,J20),0)</f>
        <v>400.459561138914</v>
      </c>
      <c r="N20" s="30" t="n">
        <f aca="false">J20-M20</f>
        <v>27396.3427214191</v>
      </c>
    </row>
    <row r="21" customFormat="false" ht="15" hidden="false" customHeight="false" outlineLevel="0" collapsed="false">
      <c r="B21" s="32" t="n">
        <v>7</v>
      </c>
      <c r="C21" s="30" t="n">
        <f aca="false">G20</f>
        <v>74515.6974587817</v>
      </c>
      <c r="D21" s="30" t="n">
        <f aca="false">E21+F21</f>
        <v>1755.70066311595</v>
      </c>
      <c r="E21" s="30" t="n">
        <f aca="false">IF(B21&lt;=$F$7,C21*$F$6/12,0)</f>
        <v>683.060560038832</v>
      </c>
      <c r="F21" s="30" t="n">
        <f aca="false">IF(B21&lt;=$F$7,MIN($F$8-E21,C21),0)</f>
        <v>1072.64010307712</v>
      </c>
      <c r="G21" s="30" t="n">
        <f aca="false">C21-F21</f>
        <v>73443.0573557046</v>
      </c>
      <c r="I21" s="32" t="n">
        <v>7</v>
      </c>
      <c r="J21" s="30" t="n">
        <f aca="false">N20</f>
        <v>27396.3427214191</v>
      </c>
      <c r="K21" s="30" t="n">
        <f aca="false">L21+M21</f>
        <v>632.099580160231</v>
      </c>
      <c r="L21" s="30" t="n">
        <f aca="false">IF(I21&lt;=$M$7,J21*$M$6/12,0)</f>
        <v>228.302856011826</v>
      </c>
      <c r="M21" s="30" t="n">
        <f aca="false">IF(I21&lt;=$M$7,MIN($M$8-L21,J21),0)</f>
        <v>403.796724148405</v>
      </c>
      <c r="N21" s="30" t="n">
        <f aca="false">J21-M21</f>
        <v>26992.5459972707</v>
      </c>
    </row>
    <row r="22" customFormat="false" ht="15" hidden="false" customHeight="false" outlineLevel="0" collapsed="false">
      <c r="B22" s="32" t="n">
        <v>8</v>
      </c>
      <c r="C22" s="30" t="n">
        <f aca="false">G21</f>
        <v>73443.0573557046</v>
      </c>
      <c r="D22" s="30" t="n">
        <f aca="false">E22+F22</f>
        <v>1755.70066311595</v>
      </c>
      <c r="E22" s="30" t="n">
        <f aca="false">IF(B22&lt;=$F$7,C22*$F$6/12,0)</f>
        <v>673.228025760625</v>
      </c>
      <c r="F22" s="30" t="n">
        <f aca="false">IF(B22&lt;=$F$7,MIN($F$8-E22,C22),0)</f>
        <v>1082.47263735532</v>
      </c>
      <c r="G22" s="30" t="n">
        <f aca="false">C22-F22</f>
        <v>72360.5847183492</v>
      </c>
      <c r="I22" s="32" t="n">
        <v>8</v>
      </c>
      <c r="J22" s="30" t="n">
        <f aca="false">N21</f>
        <v>26992.5459972707</v>
      </c>
      <c r="K22" s="30" t="n">
        <f aca="false">L22+M22</f>
        <v>632.099580160231</v>
      </c>
      <c r="L22" s="30" t="n">
        <f aca="false">IF(I22&lt;=$M$7,J22*$M$6/12,0)</f>
        <v>224.937883310589</v>
      </c>
      <c r="M22" s="30" t="n">
        <f aca="false">IF(I22&lt;=$M$7,MIN($M$8-L22,J22),0)</f>
        <v>407.161696849642</v>
      </c>
      <c r="N22" s="30" t="n">
        <f aca="false">J22-M22</f>
        <v>26585.384300421</v>
      </c>
    </row>
    <row r="23" customFormat="false" ht="15" hidden="false" customHeight="false" outlineLevel="0" collapsed="false">
      <c r="B23" s="32" t="n">
        <v>9</v>
      </c>
      <c r="C23" s="30" t="n">
        <f aca="false">G22</f>
        <v>72360.5847183492</v>
      </c>
      <c r="D23" s="30" t="n">
        <f aca="false">E23+F23</f>
        <v>1755.70066311595</v>
      </c>
      <c r="E23" s="30" t="n">
        <f aca="false">IF(B23&lt;=$F$7,C23*$F$6/12,0)</f>
        <v>663.305359918201</v>
      </c>
      <c r="F23" s="30" t="n">
        <f aca="false">IF(B23&lt;=$F$7,MIN($F$8-E23,C23),0)</f>
        <v>1092.39530319775</v>
      </c>
      <c r="G23" s="30" t="n">
        <f aca="false">C23-F23</f>
        <v>71268.1894151515</v>
      </c>
      <c r="I23" s="32" t="n">
        <v>9</v>
      </c>
      <c r="J23" s="30" t="n">
        <f aca="false">N22</f>
        <v>26585.384300421</v>
      </c>
      <c r="K23" s="30" t="n">
        <f aca="false">L23+M23</f>
        <v>632.099580160231</v>
      </c>
      <c r="L23" s="30" t="n">
        <f aca="false">IF(I23&lt;=$M$7,J23*$M$6/12,0)</f>
        <v>221.544869170175</v>
      </c>
      <c r="M23" s="30" t="n">
        <f aca="false">IF(I23&lt;=$M$7,MIN($M$8-L23,J23),0)</f>
        <v>410.554710990056</v>
      </c>
      <c r="N23" s="30" t="n">
        <f aca="false">J23-M23</f>
        <v>26174.829589431</v>
      </c>
    </row>
    <row r="24" customFormat="false" ht="15" hidden="false" customHeight="false" outlineLevel="0" collapsed="false">
      <c r="B24" s="32" t="n">
        <v>10</v>
      </c>
      <c r="C24" s="30" t="n">
        <f aca="false">G23</f>
        <v>71268.1894151515</v>
      </c>
      <c r="D24" s="30" t="n">
        <f aca="false">E24+F24</f>
        <v>1755.70066311595</v>
      </c>
      <c r="E24" s="30" t="n">
        <f aca="false">IF(B24&lt;=$F$7,C24*$F$6/12,0)</f>
        <v>653.291736305555</v>
      </c>
      <c r="F24" s="30" t="n">
        <f aca="false">IF(B24&lt;=$F$7,MIN($F$8-E24,C24),0)</f>
        <v>1102.40892681039</v>
      </c>
      <c r="G24" s="30" t="n">
        <f aca="false">C24-F24</f>
        <v>70165.7804883411</v>
      </c>
      <c r="I24" s="32" t="n">
        <v>10</v>
      </c>
      <c r="J24" s="30" t="n">
        <f aca="false">N23</f>
        <v>26174.829589431</v>
      </c>
      <c r="K24" s="30" t="n">
        <f aca="false">L24+M24</f>
        <v>632.099580160231</v>
      </c>
      <c r="L24" s="30" t="n">
        <f aca="false">IF(I24&lt;=$M$7,J24*$M$6/12,0)</f>
        <v>218.123579911925</v>
      </c>
      <c r="M24" s="30" t="n">
        <f aca="false">IF(I24&lt;=$M$7,MIN($M$8-L24,J24),0)</f>
        <v>413.976000248306</v>
      </c>
      <c r="N24" s="30" t="n">
        <f aca="false">J24-M24</f>
        <v>25760.8535891827</v>
      </c>
    </row>
    <row r="25" customFormat="false" ht="15" hidden="false" customHeight="false" outlineLevel="0" collapsed="false">
      <c r="B25" s="32" t="n">
        <v>11</v>
      </c>
      <c r="C25" s="30" t="n">
        <f aca="false">G24</f>
        <v>70165.7804883411</v>
      </c>
      <c r="D25" s="30" t="n">
        <f aca="false">E25+F25</f>
        <v>1755.70066311595</v>
      </c>
      <c r="E25" s="30" t="n">
        <f aca="false">IF(B25&lt;=$F$7,C25*$F$6/12,0)</f>
        <v>643.186321143127</v>
      </c>
      <c r="F25" s="30" t="n">
        <f aca="false">IF(B25&lt;=$F$7,MIN($F$8-E25,C25),0)</f>
        <v>1112.51434197282</v>
      </c>
      <c r="G25" s="30" t="n">
        <f aca="false">C25-F25</f>
        <v>69053.2661463683</v>
      </c>
      <c r="I25" s="32" t="n">
        <v>11</v>
      </c>
      <c r="J25" s="30" t="n">
        <f aca="false">N24</f>
        <v>25760.8535891827</v>
      </c>
      <c r="K25" s="30" t="n">
        <f aca="false">L25+M25</f>
        <v>632.099580160231</v>
      </c>
      <c r="L25" s="30" t="n">
        <f aca="false">IF(I25&lt;=$M$7,J25*$M$6/12,0)</f>
        <v>214.673779909856</v>
      </c>
      <c r="M25" s="30" t="n">
        <f aca="false">IF(I25&lt;=$M$7,MIN($M$8-L25,J25),0)</f>
        <v>417.425800250375</v>
      </c>
      <c r="N25" s="30" t="n">
        <f aca="false">J25-M25</f>
        <v>25343.4277889323</v>
      </c>
    </row>
    <row r="26" customFormat="false" ht="15" hidden="false" customHeight="false" outlineLevel="0" collapsed="false">
      <c r="B26" s="32" t="n">
        <v>12</v>
      </c>
      <c r="C26" s="30" t="n">
        <f aca="false">G25</f>
        <v>69053.2661463683</v>
      </c>
      <c r="D26" s="30" t="n">
        <f aca="false">E26+F26</f>
        <v>1755.70066311595</v>
      </c>
      <c r="E26" s="30" t="n">
        <f aca="false">IF(B26&lt;=$F$7,C26*$F$6/12,0)</f>
        <v>632.988273008376</v>
      </c>
      <c r="F26" s="30" t="n">
        <f aca="false">IF(B26&lt;=$F$7,MIN($F$8-E26,C26),0)</f>
        <v>1122.71239010757</v>
      </c>
      <c r="G26" s="30" t="n">
        <f aca="false">C26-F26</f>
        <v>67930.5537562607</v>
      </c>
      <c r="I26" s="32" t="n">
        <v>12</v>
      </c>
      <c r="J26" s="30" t="n">
        <f aca="false">N25</f>
        <v>25343.4277889323</v>
      </c>
      <c r="K26" s="30" t="n">
        <f aca="false">L26+M26</f>
        <v>632.099580160231</v>
      </c>
      <c r="L26" s="30" t="n">
        <f aca="false">IF(I26&lt;=$M$7,J26*$M$6/12,0)</f>
        <v>211.195231574436</v>
      </c>
      <c r="M26" s="30" t="n">
        <f aca="false">IF(I26&lt;=$M$7,MIN($M$8-L26,J26),0)</f>
        <v>420.904348585795</v>
      </c>
      <c r="N26" s="30" t="n">
        <f aca="false">J26-M26</f>
        <v>24922.5234403465</v>
      </c>
    </row>
    <row r="27" customFormat="false" ht="15" hidden="false" customHeight="false" outlineLevel="0" collapsed="false">
      <c r="B27" s="32" t="n">
        <v>13</v>
      </c>
      <c r="C27" s="30" t="n">
        <f aca="false">G26</f>
        <v>67930.5537562607</v>
      </c>
      <c r="D27" s="30" t="n">
        <f aca="false">E27+F27</f>
        <v>1755.70066311595</v>
      </c>
      <c r="E27" s="30" t="n">
        <f aca="false">IF(B27&lt;=$F$7,C27*$F$6/12,0)</f>
        <v>622.696742765723</v>
      </c>
      <c r="F27" s="30" t="n">
        <f aca="false">IF(B27&lt;=$F$7,MIN($F$8-E27,C27),0)</f>
        <v>1133.00392035022</v>
      </c>
      <c r="G27" s="30" t="n">
        <f aca="false">C27-F27</f>
        <v>66797.5498359105</v>
      </c>
      <c r="I27" s="32" t="n">
        <v>13</v>
      </c>
      <c r="J27" s="30" t="n">
        <f aca="false">N26</f>
        <v>24922.5234403465</v>
      </c>
      <c r="K27" s="30" t="n">
        <f aca="false">L27+M27</f>
        <v>632.099580160231</v>
      </c>
      <c r="L27" s="30" t="n">
        <f aca="false">IF(I27&lt;=$M$7,J27*$M$6/12,0)</f>
        <v>207.687695336221</v>
      </c>
      <c r="M27" s="30" t="n">
        <f aca="false">IF(I27&lt;=$M$7,MIN($M$8-L27,J27),0)</f>
        <v>424.41188482401</v>
      </c>
      <c r="N27" s="30" t="n">
        <f aca="false">J27-M27</f>
        <v>24498.1115555225</v>
      </c>
    </row>
    <row r="28" customFormat="false" ht="15" hidden="false" customHeight="false" outlineLevel="0" collapsed="false">
      <c r="B28" s="32" t="n">
        <v>14</v>
      </c>
      <c r="C28" s="30" t="n">
        <f aca="false">G27</f>
        <v>66797.5498359105</v>
      </c>
      <c r="D28" s="30" t="n">
        <f aca="false">E28+F28</f>
        <v>1755.70066311595</v>
      </c>
      <c r="E28" s="30" t="n">
        <f aca="false">IF(B28&lt;=$F$7,C28*$F$6/12,0)</f>
        <v>612.310873495846</v>
      </c>
      <c r="F28" s="30" t="n">
        <f aca="false">IF(B28&lt;=$F$7,MIN($F$8-E28,C28),0)</f>
        <v>1143.3897896201</v>
      </c>
      <c r="G28" s="30" t="n">
        <f aca="false">C28-F28</f>
        <v>65654.1600462904</v>
      </c>
      <c r="I28" s="32" t="n">
        <v>14</v>
      </c>
      <c r="J28" s="30" t="n">
        <f aca="false">N27</f>
        <v>24498.1115555225</v>
      </c>
      <c r="K28" s="30" t="n">
        <f aca="false">L28+M28</f>
        <v>632.099580160231</v>
      </c>
      <c r="L28" s="30" t="n">
        <f aca="false">IF(I28&lt;=$M$7,J28*$M$6/12,0)</f>
        <v>204.150929629354</v>
      </c>
      <c r="M28" s="30" t="n">
        <f aca="false">IF(I28&lt;=$M$7,MIN($M$8-L28,J28),0)</f>
        <v>427.948650530877</v>
      </c>
      <c r="N28" s="30" t="n">
        <f aca="false">J28-M28</f>
        <v>24070.1629049916</v>
      </c>
    </row>
    <row r="29" customFormat="false" ht="15" hidden="false" customHeight="false" outlineLevel="0" collapsed="false">
      <c r="B29" s="32" t="n">
        <v>15</v>
      </c>
      <c r="C29" s="30" t="n">
        <f aca="false">G28</f>
        <v>65654.1600462904</v>
      </c>
      <c r="D29" s="30" t="n">
        <f aca="false">E29+F29</f>
        <v>1755.70066311595</v>
      </c>
      <c r="E29" s="30" t="n">
        <f aca="false">IF(B29&lt;=$F$7,C29*$F$6/12,0)</f>
        <v>601.829800424329</v>
      </c>
      <c r="F29" s="30" t="n">
        <f aca="false">IF(B29&lt;=$F$7,MIN($F$8-E29,C29),0)</f>
        <v>1153.87086269162</v>
      </c>
      <c r="G29" s="30" t="n">
        <f aca="false">C29-F29</f>
        <v>64500.2891835988</v>
      </c>
      <c r="I29" s="32" t="n">
        <v>15</v>
      </c>
      <c r="J29" s="30" t="n">
        <f aca="false">N28</f>
        <v>24070.1629049916</v>
      </c>
      <c r="K29" s="30" t="n">
        <f aca="false">L29+M29</f>
        <v>632.099580160231</v>
      </c>
      <c r="L29" s="30" t="n">
        <f aca="false">IF(I29&lt;=$M$7,J29*$M$6/12,0)</f>
        <v>200.58469087493</v>
      </c>
      <c r="M29" s="30" t="n">
        <f aca="false">IF(I29&lt;=$M$7,MIN($M$8-L29,J29),0)</f>
        <v>431.514889285301</v>
      </c>
      <c r="N29" s="30" t="n">
        <f aca="false">J29-M29</f>
        <v>23638.6480157063</v>
      </c>
    </row>
    <row r="30" customFormat="false" ht="15" hidden="false" customHeight="false" outlineLevel="0" collapsed="false">
      <c r="B30" s="32" t="n">
        <v>16</v>
      </c>
      <c r="C30" s="30" t="n">
        <f aca="false">G29</f>
        <v>64500.2891835988</v>
      </c>
      <c r="D30" s="30" t="n">
        <f aca="false">E30+F30</f>
        <v>1755.70066311595</v>
      </c>
      <c r="E30" s="30" t="n">
        <f aca="false">IF(B30&lt;=$F$7,C30*$F$6/12,0)</f>
        <v>591.252650849656</v>
      </c>
      <c r="F30" s="30" t="n">
        <f aca="false">IF(B30&lt;=$F$7,MIN($F$8-E30,C30),0)</f>
        <v>1164.44801226629</v>
      </c>
      <c r="G30" s="30" t="n">
        <f aca="false">C30-F30</f>
        <v>63335.8411713325</v>
      </c>
      <c r="I30" s="32" t="n">
        <v>16</v>
      </c>
      <c r="J30" s="30" t="n">
        <f aca="false">N29</f>
        <v>23638.6480157063</v>
      </c>
      <c r="K30" s="30" t="n">
        <f aca="false">L30+M30</f>
        <v>632.099580160231</v>
      </c>
      <c r="L30" s="30" t="n">
        <f aca="false">IF(I30&lt;=$M$7,J30*$M$6/12,0)</f>
        <v>196.988733464219</v>
      </c>
      <c r="M30" s="30" t="n">
        <f aca="false">IF(I30&lt;=$M$7,MIN($M$8-L30,J30),0)</f>
        <v>435.110846696012</v>
      </c>
      <c r="N30" s="30" t="n">
        <f aca="false">J30-M30</f>
        <v>23203.5371690103</v>
      </c>
    </row>
    <row r="31" customFormat="false" ht="15" hidden="false" customHeight="false" outlineLevel="0" collapsed="false">
      <c r="B31" s="32" t="n">
        <v>17</v>
      </c>
      <c r="C31" s="30" t="n">
        <f aca="false">G30</f>
        <v>63335.8411713325</v>
      </c>
      <c r="D31" s="30" t="n">
        <f aca="false">E31+F31</f>
        <v>1755.70066311595</v>
      </c>
      <c r="E31" s="30" t="n">
        <f aca="false">IF(B31&lt;=$F$7,C31*$F$6/12,0)</f>
        <v>580.578544070548</v>
      </c>
      <c r="F31" s="30" t="n">
        <f aca="false">IF(B31&lt;=$F$7,MIN($F$8-E31,C31),0)</f>
        <v>1175.1221190454</v>
      </c>
      <c r="G31" s="30" t="n">
        <f aca="false">C31-F31</f>
        <v>62160.7190522871</v>
      </c>
      <c r="I31" s="32" t="n">
        <v>17</v>
      </c>
      <c r="J31" s="30" t="n">
        <f aca="false">N30</f>
        <v>23203.5371690103</v>
      </c>
      <c r="K31" s="30" t="n">
        <f aca="false">L31+M31</f>
        <v>632.099580160231</v>
      </c>
      <c r="L31" s="30" t="n">
        <f aca="false">IF(I31&lt;=$M$7,J31*$M$6/12,0)</f>
        <v>193.362809741753</v>
      </c>
      <c r="M31" s="30" t="n">
        <f aca="false">IF(I31&lt;=$M$7,MIN($M$8-L31,J31),0)</f>
        <v>438.736770418479</v>
      </c>
      <c r="N31" s="30" t="n">
        <f aca="false">J31-M31</f>
        <v>22764.8003985918</v>
      </c>
    </row>
    <row r="32" customFormat="false" ht="15" hidden="false" customHeight="false" outlineLevel="0" collapsed="false">
      <c r="B32" s="32" t="n">
        <v>18</v>
      </c>
      <c r="C32" s="30" t="n">
        <f aca="false">G31</f>
        <v>62160.7190522871</v>
      </c>
      <c r="D32" s="30" t="n">
        <f aca="false">E32+F32</f>
        <v>1755.70066311595</v>
      </c>
      <c r="E32" s="30" t="n">
        <f aca="false">IF(B32&lt;=$F$7,C32*$F$6/12,0)</f>
        <v>569.806591312632</v>
      </c>
      <c r="F32" s="30" t="n">
        <f aca="false">IF(B32&lt;=$F$7,MIN($F$8-E32,C32),0)</f>
        <v>1185.89407180332</v>
      </c>
      <c r="G32" s="30" t="n">
        <f aca="false">C32-F32</f>
        <v>60974.8249804838</v>
      </c>
      <c r="I32" s="32" t="n">
        <v>18</v>
      </c>
      <c r="J32" s="30" t="n">
        <f aca="false">N31</f>
        <v>22764.8003985918</v>
      </c>
      <c r="K32" s="30" t="n">
        <f aca="false">L32+M32</f>
        <v>632.099580160231</v>
      </c>
      <c r="L32" s="30" t="n">
        <f aca="false">IF(I32&lt;=$M$7,J32*$M$6/12,0)</f>
        <v>189.706669988265</v>
      </c>
      <c r="M32" s="30" t="n">
        <f aca="false">IF(I32&lt;=$M$7,MIN($M$8-L32,J32),0)</f>
        <v>442.392910171966</v>
      </c>
      <c r="N32" s="30" t="n">
        <f aca="false">J32-M32</f>
        <v>22322.4074884199</v>
      </c>
    </row>
    <row r="33" customFormat="false" ht="15" hidden="false" customHeight="false" outlineLevel="0" collapsed="false">
      <c r="B33" s="32" t="n">
        <v>19</v>
      </c>
      <c r="C33" s="30" t="n">
        <f aca="false">G32</f>
        <v>60974.8249804838</v>
      </c>
      <c r="D33" s="30" t="n">
        <f aca="false">E33+F33</f>
        <v>1755.70066311595</v>
      </c>
      <c r="E33" s="30" t="n">
        <f aca="false">IF(B33&lt;=$F$7,C33*$F$6/12,0)</f>
        <v>558.935895654435</v>
      </c>
      <c r="F33" s="30" t="n">
        <f aca="false">IF(B33&lt;=$F$7,MIN($F$8-E33,C33),0)</f>
        <v>1196.76476746151</v>
      </c>
      <c r="G33" s="30" t="n">
        <f aca="false">C33-F33</f>
        <v>59778.0602130223</v>
      </c>
      <c r="I33" s="32" t="n">
        <v>19</v>
      </c>
      <c r="J33" s="30" t="n">
        <f aca="false">N32</f>
        <v>22322.4074884199</v>
      </c>
      <c r="K33" s="30" t="n">
        <f aca="false">L33+M33</f>
        <v>632.099580160231</v>
      </c>
      <c r="L33" s="30" t="n">
        <f aca="false">IF(I33&lt;=$M$7,J33*$M$6/12,0)</f>
        <v>186.020062403499</v>
      </c>
      <c r="M33" s="30" t="n">
        <f aca="false">IF(I33&lt;=$M$7,MIN($M$8-L33,J33),0)</f>
        <v>446.079517756732</v>
      </c>
      <c r="N33" s="30" t="n">
        <f aca="false">J33-M33</f>
        <v>21876.3279706631</v>
      </c>
    </row>
    <row r="34" customFormat="false" ht="15" hidden="false" customHeight="false" outlineLevel="0" collapsed="false">
      <c r="B34" s="32" t="n">
        <v>20</v>
      </c>
      <c r="C34" s="30" t="n">
        <f aca="false">G33</f>
        <v>59778.0602130223</v>
      </c>
      <c r="D34" s="30" t="n">
        <f aca="false">E34+F34</f>
        <v>1755.70066311595</v>
      </c>
      <c r="E34" s="30" t="n">
        <f aca="false">IF(B34&lt;=$F$7,C34*$F$6/12,0)</f>
        <v>547.965551952704</v>
      </c>
      <c r="F34" s="30" t="n">
        <f aca="false">IF(B34&lt;=$F$7,MIN($F$8-E34,C34),0)</f>
        <v>1207.73511116324</v>
      </c>
      <c r="G34" s="30" t="n">
        <f aca="false">C34-F34</f>
        <v>58570.325101859</v>
      </c>
      <c r="I34" s="32" t="n">
        <v>20</v>
      </c>
      <c r="J34" s="30" t="n">
        <f aca="false">N33</f>
        <v>21876.3279706631</v>
      </c>
      <c r="K34" s="30" t="n">
        <f aca="false">L34+M34</f>
        <v>632.099580160231</v>
      </c>
      <c r="L34" s="30" t="n">
        <f aca="false">IF(I34&lt;=$M$7,J34*$M$6/12,0)</f>
        <v>182.30273308886</v>
      </c>
      <c r="M34" s="30" t="n">
        <f aca="false">IF(I34&lt;=$M$7,MIN($M$8-L34,J34),0)</f>
        <v>449.796847071372</v>
      </c>
      <c r="N34" s="30" t="n">
        <f aca="false">J34-M34</f>
        <v>21426.5311235918</v>
      </c>
    </row>
    <row r="35" customFormat="false" ht="15" hidden="false" customHeight="false" outlineLevel="0" collapsed="false">
      <c r="B35" s="32" t="n">
        <v>21</v>
      </c>
      <c r="C35" s="30" t="n">
        <f aca="false">G34</f>
        <v>58570.325101859</v>
      </c>
      <c r="D35" s="30" t="n">
        <f aca="false">E35+F35</f>
        <v>1755.70066311595</v>
      </c>
      <c r="E35" s="30" t="n">
        <f aca="false">IF(B35&lt;=$F$7,C35*$F$6/12,0)</f>
        <v>536.894646767041</v>
      </c>
      <c r="F35" s="30" t="n">
        <f aca="false">IF(B35&lt;=$F$7,MIN($F$8-E35,C35),0)</f>
        <v>1218.80601634891</v>
      </c>
      <c r="G35" s="30" t="n">
        <f aca="false">C35-F35</f>
        <v>57351.5190855101</v>
      </c>
      <c r="I35" s="32" t="n">
        <v>21</v>
      </c>
      <c r="J35" s="30" t="n">
        <f aca="false">N34</f>
        <v>21426.5311235918</v>
      </c>
      <c r="K35" s="30" t="n">
        <f aca="false">L35+M35</f>
        <v>632.099580160231</v>
      </c>
      <c r="L35" s="30" t="n">
        <f aca="false">IF(I35&lt;=$M$7,J35*$M$6/12,0)</f>
        <v>178.554426029931</v>
      </c>
      <c r="M35" s="30" t="n">
        <f aca="false">IF(I35&lt;=$M$7,MIN($M$8-L35,J35),0)</f>
        <v>453.5451541303</v>
      </c>
      <c r="N35" s="30" t="n">
        <f aca="false">J35-M35</f>
        <v>20972.9859694615</v>
      </c>
    </row>
    <row r="36" customFormat="false" ht="15" hidden="false" customHeight="false" outlineLevel="0" collapsed="false">
      <c r="B36" s="32" t="n">
        <v>22</v>
      </c>
      <c r="C36" s="30" t="n">
        <f aca="false">G35</f>
        <v>57351.5190855101</v>
      </c>
      <c r="D36" s="30" t="n">
        <f aca="false">E36+F36</f>
        <v>1755.70066311595</v>
      </c>
      <c r="E36" s="30" t="n">
        <f aca="false">IF(B36&lt;=$F$7,C36*$F$6/12,0)</f>
        <v>525.722258283843</v>
      </c>
      <c r="F36" s="30" t="n">
        <f aca="false">IF(B36&lt;=$F$7,MIN($F$8-E36,C36),0)</f>
        <v>1229.9784048321</v>
      </c>
      <c r="G36" s="30" t="n">
        <f aca="false">C36-F36</f>
        <v>56121.540680678</v>
      </c>
      <c r="I36" s="32" t="n">
        <v>22</v>
      </c>
      <c r="J36" s="30" t="n">
        <f aca="false">N35</f>
        <v>20972.9859694615</v>
      </c>
      <c r="K36" s="30" t="n">
        <f aca="false">L36+M36</f>
        <v>632.099580160231</v>
      </c>
      <c r="L36" s="30" t="n">
        <f aca="false">IF(I36&lt;=$M$7,J36*$M$6/12,0)</f>
        <v>174.774883078846</v>
      </c>
      <c r="M36" s="30" t="n">
        <f aca="false">IF(I36&lt;=$M$7,MIN($M$8-L36,J36),0)</f>
        <v>457.324697081386</v>
      </c>
      <c r="N36" s="30" t="n">
        <f aca="false">J36-M36</f>
        <v>20515.6612723801</v>
      </c>
    </row>
    <row r="37" customFormat="false" ht="15" hidden="false" customHeight="false" outlineLevel="0" collapsed="false">
      <c r="B37" s="32" t="n">
        <v>23</v>
      </c>
      <c r="C37" s="30" t="n">
        <f aca="false">G36</f>
        <v>56121.540680678</v>
      </c>
      <c r="D37" s="30" t="n">
        <f aca="false">E37+F37</f>
        <v>1755.70066311595</v>
      </c>
      <c r="E37" s="30" t="n">
        <f aca="false">IF(B37&lt;=$F$7,C37*$F$6/12,0)</f>
        <v>514.447456239548</v>
      </c>
      <c r="F37" s="30" t="n">
        <f aca="false">IF(B37&lt;=$F$7,MIN($F$8-E37,C37),0)</f>
        <v>1241.2532068764</v>
      </c>
      <c r="G37" s="30" t="n">
        <f aca="false">C37-F37</f>
        <v>54880.2874738016</v>
      </c>
      <c r="I37" s="32" t="n">
        <v>23</v>
      </c>
      <c r="J37" s="30" t="n">
        <f aca="false">N36</f>
        <v>20515.6612723801</v>
      </c>
      <c r="K37" s="30" t="n">
        <f aca="false">L37+M37</f>
        <v>632.099580160231</v>
      </c>
      <c r="L37" s="30" t="n">
        <f aca="false">IF(I37&lt;=$M$7,J37*$M$6/12,0)</f>
        <v>170.963843936501</v>
      </c>
      <c r="M37" s="30" t="n">
        <f aca="false">IF(I37&lt;=$M$7,MIN($M$8-L37,J37),0)</f>
        <v>461.13573622373</v>
      </c>
      <c r="N37" s="30" t="n">
        <f aca="false">J37-M37</f>
        <v>20054.5255361564</v>
      </c>
    </row>
    <row r="38" customFormat="false" ht="15" hidden="false" customHeight="false" outlineLevel="0" collapsed="false">
      <c r="B38" s="32" t="n">
        <v>24</v>
      </c>
      <c r="C38" s="30" t="n">
        <f aca="false">G37</f>
        <v>54880.2874738016</v>
      </c>
      <c r="D38" s="30" t="n">
        <f aca="false">E38+F38</f>
        <v>1755.70066311595</v>
      </c>
      <c r="E38" s="30" t="n">
        <f aca="false">IF(B38&lt;=$F$7,C38*$F$6/12,0)</f>
        <v>503.069301843181</v>
      </c>
      <c r="F38" s="30" t="n">
        <f aca="false">IF(B38&lt;=$F$7,MIN($F$8-E38,C38),0)</f>
        <v>1252.63136127277</v>
      </c>
      <c r="G38" s="30" t="n">
        <f aca="false">C38-F38</f>
        <v>53627.6561125288</v>
      </c>
      <c r="I38" s="32" t="n">
        <v>24</v>
      </c>
      <c r="J38" s="30" t="n">
        <f aca="false">N37</f>
        <v>20054.5255361564</v>
      </c>
      <c r="K38" s="30" t="n">
        <f aca="false">L38+M38</f>
        <v>632.099580160231</v>
      </c>
      <c r="L38" s="30" t="n">
        <f aca="false">IF(I38&lt;=$M$7,J38*$M$6/12,0)</f>
        <v>167.121046134636</v>
      </c>
      <c r="M38" s="30" t="n">
        <f aca="false">IF(I38&lt;=$M$7,MIN($M$8-L38,J38),0)</f>
        <v>464.978534025595</v>
      </c>
      <c r="N38" s="30" t="n">
        <f aca="false">J38-M38</f>
        <v>19589.5470021308</v>
      </c>
    </row>
    <row r="39" customFormat="false" ht="15" hidden="false" customHeight="false" outlineLevel="0" collapsed="false">
      <c r="B39" s="32" t="n">
        <v>25</v>
      </c>
      <c r="C39" s="30" t="n">
        <f aca="false">G38</f>
        <v>53627.6561125288</v>
      </c>
      <c r="D39" s="30" t="n">
        <f aca="false">E39+F39</f>
        <v>1755.70066311595</v>
      </c>
      <c r="E39" s="30" t="n">
        <f aca="false">IF(B39&lt;=$F$7,C39*$F$6/12,0)</f>
        <v>491.586847698181</v>
      </c>
      <c r="F39" s="30" t="n">
        <f aca="false">IF(B39&lt;=$F$7,MIN($F$8-E39,C39),0)</f>
        <v>1264.11381541777</v>
      </c>
      <c r="G39" s="30" t="n">
        <f aca="false">C39-F39</f>
        <v>52363.5422971111</v>
      </c>
      <c r="I39" s="32" t="n">
        <v>25</v>
      </c>
      <c r="J39" s="30" t="n">
        <f aca="false">N38</f>
        <v>19589.5470021308</v>
      </c>
      <c r="K39" s="30" t="n">
        <f aca="false">L39+M39</f>
        <v>632.099580160231</v>
      </c>
      <c r="L39" s="30" t="n">
        <f aca="false">IF(I39&lt;=$M$7,J39*$M$6/12,0)</f>
        <v>163.246225017756</v>
      </c>
      <c r="M39" s="30" t="n">
        <f aca="false">IF(I39&lt;=$M$7,MIN($M$8-L39,J39),0)</f>
        <v>468.853355142475</v>
      </c>
      <c r="N39" s="30" t="n">
        <f aca="false">J39-M39</f>
        <v>19120.6936469883</v>
      </c>
    </row>
    <row r="40" customFormat="false" ht="15" hidden="false" customHeight="false" outlineLevel="0" collapsed="false">
      <c r="B40" s="32" t="n">
        <v>26</v>
      </c>
      <c r="C40" s="30" t="n">
        <f aca="false">G39</f>
        <v>52363.5422971111</v>
      </c>
      <c r="D40" s="30" t="n">
        <f aca="false">E40+F40</f>
        <v>1755.70066311595</v>
      </c>
      <c r="E40" s="30" t="n">
        <f aca="false">IF(B40&lt;=$F$7,C40*$F$6/12,0)</f>
        <v>479.999137723518</v>
      </c>
      <c r="F40" s="30" t="n">
        <f aca="false">IF(B40&lt;=$F$7,MIN($F$8-E40,C40),0)</f>
        <v>1275.70152539243</v>
      </c>
      <c r="G40" s="30" t="n">
        <f aca="false">C40-F40</f>
        <v>51087.8407717186</v>
      </c>
      <c r="I40" s="32" t="n">
        <v>26</v>
      </c>
      <c r="J40" s="30" t="n">
        <f aca="false">N39</f>
        <v>19120.6936469883</v>
      </c>
      <c r="K40" s="30" t="n">
        <f aca="false">L40+M40</f>
        <v>632.099580160231</v>
      </c>
      <c r="L40" s="30" t="n">
        <f aca="false">IF(I40&lt;=$M$7,J40*$M$6/12,0)</f>
        <v>159.339113724902</v>
      </c>
      <c r="M40" s="30" t="n">
        <f aca="false">IF(I40&lt;=$M$7,MIN($M$8-L40,J40),0)</f>
        <v>472.760466435329</v>
      </c>
      <c r="N40" s="30" t="n">
        <f aca="false">J40-M40</f>
        <v>18647.933180553</v>
      </c>
    </row>
    <row r="41" customFormat="false" ht="15" hidden="false" customHeight="false" outlineLevel="0" collapsed="false">
      <c r="B41" s="32" t="n">
        <v>27</v>
      </c>
      <c r="C41" s="30" t="n">
        <f aca="false">G40</f>
        <v>51087.8407717186</v>
      </c>
      <c r="D41" s="30" t="n">
        <f aca="false">E41+F41</f>
        <v>1755.70066311595</v>
      </c>
      <c r="E41" s="30" t="n">
        <f aca="false">IF(B41&lt;=$F$7,C41*$F$6/12,0)</f>
        <v>468.305207074088</v>
      </c>
      <c r="F41" s="30" t="n">
        <f aca="false">IF(B41&lt;=$F$7,MIN($F$8-E41,C41),0)</f>
        <v>1287.39545604186</v>
      </c>
      <c r="G41" s="30" t="n">
        <f aca="false">C41-F41</f>
        <v>49800.4453156768</v>
      </c>
      <c r="I41" s="32" t="n">
        <v>27</v>
      </c>
      <c r="J41" s="30" t="n">
        <f aca="false">N40</f>
        <v>18647.933180553</v>
      </c>
      <c r="K41" s="30" t="n">
        <f aca="false">L41+M41</f>
        <v>632.099580160231</v>
      </c>
      <c r="L41" s="30" t="n">
        <f aca="false">IF(I41&lt;=$M$7,J41*$M$6/12,0)</f>
        <v>155.399443171275</v>
      </c>
      <c r="M41" s="30" t="n">
        <f aca="false">IF(I41&lt;=$M$7,MIN($M$8-L41,J41),0)</f>
        <v>476.700136988957</v>
      </c>
      <c r="N41" s="30" t="n">
        <f aca="false">J41-M41</f>
        <v>18171.233043564</v>
      </c>
    </row>
    <row r="42" customFormat="false" ht="15" hidden="false" customHeight="false" outlineLevel="0" collapsed="false">
      <c r="B42" s="32" t="n">
        <v>28</v>
      </c>
      <c r="C42" s="30" t="n">
        <f aca="false">G41</f>
        <v>49800.4453156768</v>
      </c>
      <c r="D42" s="30" t="n">
        <f aca="false">E42+F42</f>
        <v>1755.70066311595</v>
      </c>
      <c r="E42" s="30" t="n">
        <f aca="false">IF(B42&lt;=$F$7,C42*$F$6/12,0)</f>
        <v>456.50408206037</v>
      </c>
      <c r="F42" s="30" t="n">
        <f aca="false">IF(B42&lt;=$F$7,MIN($F$8-E42,C42),0)</f>
        <v>1299.19658105558</v>
      </c>
      <c r="G42" s="30" t="n">
        <f aca="false">C42-F42</f>
        <v>48501.2487346212</v>
      </c>
      <c r="I42" s="32" t="n">
        <v>28</v>
      </c>
      <c r="J42" s="30" t="n">
        <f aca="false">N41</f>
        <v>18171.233043564</v>
      </c>
      <c r="K42" s="30" t="n">
        <f aca="false">L42+M42</f>
        <v>632.099580160231</v>
      </c>
      <c r="L42" s="30" t="n">
        <f aca="false">IF(I42&lt;=$M$7,J42*$M$6/12,0)</f>
        <v>151.4269420297</v>
      </c>
      <c r="M42" s="30" t="n">
        <f aca="false">IF(I42&lt;=$M$7,MIN($M$8-L42,J42),0)</f>
        <v>480.672638130531</v>
      </c>
      <c r="N42" s="30" t="n">
        <f aca="false">J42-M42</f>
        <v>17690.5604054335</v>
      </c>
    </row>
    <row r="43" customFormat="false" ht="15" hidden="false" customHeight="false" outlineLevel="0" collapsed="false">
      <c r="B43" s="32" t="n">
        <v>29</v>
      </c>
      <c r="C43" s="30" t="n">
        <f aca="false">G42</f>
        <v>48501.2487346212</v>
      </c>
      <c r="D43" s="30" t="n">
        <f aca="false">E43+F43</f>
        <v>1755.70066311595</v>
      </c>
      <c r="E43" s="30" t="n">
        <f aca="false">IF(B43&lt;=$F$7,C43*$F$6/12,0)</f>
        <v>444.594780067361</v>
      </c>
      <c r="F43" s="30" t="n">
        <f aca="false">IF(B43&lt;=$F$7,MIN($F$8-E43,C43),0)</f>
        <v>1311.10588304859</v>
      </c>
      <c r="G43" s="30" t="n">
        <f aca="false">C43-F43</f>
        <v>47190.1428515726</v>
      </c>
      <c r="I43" s="32" t="n">
        <v>29</v>
      </c>
      <c r="J43" s="30" t="n">
        <f aca="false">N42</f>
        <v>17690.5604054335</v>
      </c>
      <c r="K43" s="30" t="n">
        <f aca="false">L43+M43</f>
        <v>632.099580160231</v>
      </c>
      <c r="L43" s="30" t="n">
        <f aca="false">IF(I43&lt;=$M$7,J43*$M$6/12,0)</f>
        <v>147.421336711946</v>
      </c>
      <c r="M43" s="30" t="n">
        <f aca="false">IF(I43&lt;=$M$7,MIN($M$8-L43,J43),0)</f>
        <v>484.678243448286</v>
      </c>
      <c r="N43" s="30" t="n">
        <f aca="false">J43-M43</f>
        <v>17205.8821619852</v>
      </c>
    </row>
    <row r="44" customFormat="false" ht="15" hidden="false" customHeight="false" outlineLevel="0" collapsed="false">
      <c r="B44" s="32" t="n">
        <v>30</v>
      </c>
      <c r="C44" s="30" t="n">
        <f aca="false">G43</f>
        <v>47190.1428515726</v>
      </c>
      <c r="D44" s="30" t="n">
        <f aca="false">E44+F44</f>
        <v>1755.70066311595</v>
      </c>
      <c r="E44" s="30" t="n">
        <f aca="false">IF(B44&lt;=$F$7,C44*$F$6/12,0)</f>
        <v>432.576309472749</v>
      </c>
      <c r="F44" s="30" t="n">
        <f aca="false">IF(B44&lt;=$F$7,MIN($F$8-E44,C44),0)</f>
        <v>1323.1243536432</v>
      </c>
      <c r="G44" s="30" t="n">
        <f aca="false">C44-F44</f>
        <v>45867.0184979294</v>
      </c>
      <c r="I44" s="32" t="n">
        <v>30</v>
      </c>
      <c r="J44" s="30" t="n">
        <f aca="false">N43</f>
        <v>17205.8821619852</v>
      </c>
      <c r="K44" s="30" t="n">
        <f aca="false">L44+M44</f>
        <v>632.099580160231</v>
      </c>
      <c r="L44" s="30" t="n">
        <f aca="false">IF(I44&lt;=$M$7,J44*$M$6/12,0)</f>
        <v>143.382351349877</v>
      </c>
      <c r="M44" s="30" t="n">
        <f aca="false">IF(I44&lt;=$M$7,MIN($M$8-L44,J44),0)</f>
        <v>488.717228810355</v>
      </c>
      <c r="N44" s="30" t="n">
        <f aca="false">J44-M44</f>
        <v>16717.1649331748</v>
      </c>
    </row>
    <row r="45" customFormat="false" ht="15" hidden="false" customHeight="false" outlineLevel="0" collapsed="false">
      <c r="B45" s="32" t="n">
        <v>31</v>
      </c>
      <c r="C45" s="30" t="n">
        <f aca="false">G44</f>
        <v>45867.0184979294</v>
      </c>
      <c r="D45" s="30" t="n">
        <f aca="false">E45+F45</f>
        <v>1755.70066311595</v>
      </c>
      <c r="E45" s="30" t="n">
        <f aca="false">IF(B45&lt;=$F$7,C45*$F$6/12,0)</f>
        <v>420.447669564353</v>
      </c>
      <c r="F45" s="30" t="n">
        <f aca="false">IF(B45&lt;=$F$7,MIN($F$8-E45,C45),0)</f>
        <v>1335.25299355159</v>
      </c>
      <c r="G45" s="30" t="n">
        <f aca="false">C45-F45</f>
        <v>44531.7655043778</v>
      </c>
      <c r="I45" s="32" t="n">
        <v>31</v>
      </c>
      <c r="J45" s="30" t="n">
        <f aca="false">N44</f>
        <v>16717.1649331748</v>
      </c>
      <c r="K45" s="30" t="n">
        <f aca="false">L45+M45</f>
        <v>632.099580160231</v>
      </c>
      <c r="L45" s="30" t="n">
        <f aca="false">IF(I45&lt;=$M$7,J45*$M$6/12,0)</f>
        <v>139.309707776457</v>
      </c>
      <c r="M45" s="30" t="n">
        <f aca="false">IF(I45&lt;=$M$7,MIN($M$8-L45,J45),0)</f>
        <v>492.789872383774</v>
      </c>
      <c r="N45" s="30" t="n">
        <f aca="false">J45-M45</f>
        <v>16224.3750607911</v>
      </c>
    </row>
    <row r="46" customFormat="false" ht="15" hidden="false" customHeight="false" outlineLevel="0" collapsed="false">
      <c r="B46" s="32" t="n">
        <v>32</v>
      </c>
      <c r="C46" s="30" t="n">
        <f aca="false">G45</f>
        <v>44531.7655043778</v>
      </c>
      <c r="D46" s="30" t="n">
        <f aca="false">E46+F46</f>
        <v>1755.70066311595</v>
      </c>
      <c r="E46" s="30" t="n">
        <f aca="false">IF(B46&lt;=$F$7,C46*$F$6/12,0)</f>
        <v>408.207850456797</v>
      </c>
      <c r="F46" s="30" t="n">
        <f aca="false">IF(B46&lt;=$F$7,MIN($F$8-E46,C46),0)</f>
        <v>1347.49281265915</v>
      </c>
      <c r="G46" s="30" t="n">
        <f aca="false">C46-F46</f>
        <v>43184.2726917187</v>
      </c>
      <c r="I46" s="32" t="n">
        <v>32</v>
      </c>
      <c r="J46" s="30" t="n">
        <f aca="false">N45</f>
        <v>16224.3750607911</v>
      </c>
      <c r="K46" s="30" t="n">
        <f aca="false">L46+M46</f>
        <v>632.099580160231</v>
      </c>
      <c r="L46" s="30" t="n">
        <f aca="false">IF(I46&lt;=$M$7,J46*$M$6/12,0)</f>
        <v>135.203125506592</v>
      </c>
      <c r="M46" s="30" t="n">
        <f aca="false">IF(I46&lt;=$M$7,MIN($M$8-L46,J46),0)</f>
        <v>496.896454653639</v>
      </c>
      <c r="N46" s="30" t="n">
        <f aca="false">J46-M46</f>
        <v>15727.4786061374</v>
      </c>
    </row>
    <row r="47" customFormat="false" ht="15" hidden="false" customHeight="false" outlineLevel="0" collapsed="false">
      <c r="B47" s="32" t="n">
        <v>33</v>
      </c>
      <c r="C47" s="30" t="n">
        <f aca="false">G46</f>
        <v>43184.2726917187</v>
      </c>
      <c r="D47" s="30" t="n">
        <f aca="false">E47+F47</f>
        <v>1755.70066311595</v>
      </c>
      <c r="E47" s="30" t="n">
        <f aca="false">IF(B47&lt;=$F$7,C47*$F$6/12,0)</f>
        <v>395.855833007421</v>
      </c>
      <c r="F47" s="30" t="n">
        <f aca="false">IF(B47&lt;=$F$7,MIN($F$8-E47,C47),0)</f>
        <v>1359.84483010853</v>
      </c>
      <c r="G47" s="30" t="n">
        <f aca="false">C47-F47</f>
        <v>41824.4278616102</v>
      </c>
      <c r="I47" s="32" t="n">
        <v>33</v>
      </c>
      <c r="J47" s="30" t="n">
        <f aca="false">N46</f>
        <v>15727.4786061374</v>
      </c>
      <c r="K47" s="30" t="n">
        <f aca="false">L47+M47</f>
        <v>632.099580160231</v>
      </c>
      <c r="L47" s="30" t="n">
        <f aca="false">IF(I47&lt;=$M$7,J47*$M$6/12,0)</f>
        <v>131.062321717812</v>
      </c>
      <c r="M47" s="30" t="n">
        <f aca="false">IF(I47&lt;=$M$7,MIN($M$8-L47,J47),0)</f>
        <v>501.037258442419</v>
      </c>
      <c r="N47" s="30" t="n">
        <f aca="false">J47-M47</f>
        <v>15226.441347695</v>
      </c>
    </row>
    <row r="48" customFormat="false" ht="15" hidden="false" customHeight="false" outlineLevel="0" collapsed="false">
      <c r="B48" s="32" t="n">
        <v>34</v>
      </c>
      <c r="C48" s="30" t="n">
        <f aca="false">G47</f>
        <v>41824.4278616102</v>
      </c>
      <c r="D48" s="30" t="n">
        <f aca="false">E48+F48</f>
        <v>1755.70066311595</v>
      </c>
      <c r="E48" s="30" t="n">
        <f aca="false">IF(B48&lt;=$F$7,C48*$F$6/12,0)</f>
        <v>383.390588731426</v>
      </c>
      <c r="F48" s="30" t="n">
        <f aca="false">IF(B48&lt;=$F$7,MIN($F$8-E48,C48),0)</f>
        <v>1372.31007438452</v>
      </c>
      <c r="G48" s="30" t="n">
        <f aca="false">C48-F48</f>
        <v>40452.1177872256</v>
      </c>
      <c r="I48" s="32" t="n">
        <v>34</v>
      </c>
      <c r="J48" s="30" t="n">
        <f aca="false">N47</f>
        <v>15226.441347695</v>
      </c>
      <c r="K48" s="30" t="n">
        <f aca="false">L48+M48</f>
        <v>632.099580160231</v>
      </c>
      <c r="L48" s="30" t="n">
        <f aca="false">IF(I48&lt;=$M$7,J48*$M$6/12,0)</f>
        <v>126.887011230792</v>
      </c>
      <c r="M48" s="30" t="n">
        <f aca="false">IF(I48&lt;=$M$7,MIN($M$8-L48,J48),0)</f>
        <v>505.21256892944</v>
      </c>
      <c r="N48" s="30" t="n">
        <f aca="false">J48-M48</f>
        <v>14721.2287787656</v>
      </c>
    </row>
    <row r="49" customFormat="false" ht="15" hidden="false" customHeight="false" outlineLevel="0" collapsed="false">
      <c r="B49" s="32" t="n">
        <v>35</v>
      </c>
      <c r="C49" s="30" t="n">
        <f aca="false">G48</f>
        <v>40452.1177872256</v>
      </c>
      <c r="D49" s="30" t="n">
        <f aca="false">E49+F49</f>
        <v>1755.70066311595</v>
      </c>
      <c r="E49" s="30" t="n">
        <f aca="false">IF(B49&lt;=$F$7,C49*$F$6/12,0)</f>
        <v>370.811079716235</v>
      </c>
      <c r="F49" s="30" t="n">
        <f aca="false">IF(B49&lt;=$F$7,MIN($F$8-E49,C49),0)</f>
        <v>1384.88958339971</v>
      </c>
      <c r="G49" s="30" t="n">
        <f aca="false">C49-F49</f>
        <v>39067.2282038259</v>
      </c>
      <c r="I49" s="32" t="n">
        <v>35</v>
      </c>
      <c r="J49" s="30" t="n">
        <f aca="false">N48</f>
        <v>14721.2287787656</v>
      </c>
      <c r="K49" s="30" t="n">
        <f aca="false">L49+M49</f>
        <v>632.099580160231</v>
      </c>
      <c r="L49" s="30" t="n">
        <f aca="false">IF(I49&lt;=$M$7,J49*$M$6/12,0)</f>
        <v>122.676906489713</v>
      </c>
      <c r="M49" s="30" t="n">
        <f aca="false">IF(I49&lt;=$M$7,MIN($M$8-L49,J49),0)</f>
        <v>509.422673670518</v>
      </c>
      <c r="N49" s="30" t="n">
        <f aca="false">J49-M49</f>
        <v>14211.806105095</v>
      </c>
    </row>
    <row r="50" customFormat="false" ht="15" hidden="false" customHeight="false" outlineLevel="0" collapsed="false">
      <c r="B50" s="32" t="n">
        <v>36</v>
      </c>
      <c r="C50" s="30" t="n">
        <f aca="false">G49</f>
        <v>39067.2282038259</v>
      </c>
      <c r="D50" s="30" t="n">
        <f aca="false">E50+F50</f>
        <v>1755.70066311595</v>
      </c>
      <c r="E50" s="30" t="n">
        <f aca="false">IF(B50&lt;=$F$7,C50*$F$6/12,0)</f>
        <v>358.116258535071</v>
      </c>
      <c r="F50" s="30" t="n">
        <f aca="false">IF(B50&lt;=$F$7,MIN($F$8-E50,C50),0)</f>
        <v>1397.58440458088</v>
      </c>
      <c r="G50" s="30" t="n">
        <f aca="false">C50-F50</f>
        <v>37669.643799245</v>
      </c>
      <c r="I50" s="32" t="n">
        <v>36</v>
      </c>
      <c r="J50" s="30" t="n">
        <f aca="false">N49</f>
        <v>14211.806105095</v>
      </c>
      <c r="K50" s="30" t="n">
        <f aca="false">L50+M50</f>
        <v>632.099580160231</v>
      </c>
      <c r="L50" s="30" t="n">
        <f aca="false">IF(I50&lt;=$M$7,J50*$M$6/12,0)</f>
        <v>118.431717542459</v>
      </c>
      <c r="M50" s="30" t="n">
        <f aca="false">IF(I50&lt;=$M$7,MIN($M$8-L50,J50),0)</f>
        <v>513.667862617773</v>
      </c>
      <c r="N50" s="30" t="n">
        <f aca="false">J50-M50</f>
        <v>13698.1382424773</v>
      </c>
    </row>
    <row r="51" customFormat="false" ht="15" hidden="false" customHeight="false" outlineLevel="0" collapsed="false">
      <c r="B51" s="32" t="n">
        <v>37</v>
      </c>
      <c r="C51" s="30" t="n">
        <f aca="false">G50</f>
        <v>37669.643799245</v>
      </c>
      <c r="D51" s="30" t="n">
        <f aca="false">E51+F51</f>
        <v>1755.70066311595</v>
      </c>
      <c r="E51" s="30" t="n">
        <f aca="false">IF(B51&lt;=$F$7,C51*$F$6/12,0)</f>
        <v>345.305068159746</v>
      </c>
      <c r="F51" s="30" t="n">
        <f aca="false">IF(B51&lt;=$F$7,MIN($F$8-E51,C51),0)</f>
        <v>1410.3955949562</v>
      </c>
      <c r="G51" s="30" t="n">
        <f aca="false">C51-F51</f>
        <v>36259.2482042888</v>
      </c>
      <c r="I51" s="32" t="n">
        <v>37</v>
      </c>
      <c r="J51" s="30" t="n">
        <f aca="false">N50</f>
        <v>13698.1382424773</v>
      </c>
      <c r="K51" s="30" t="n">
        <f aca="false">L51+M51</f>
        <v>632.099580160231</v>
      </c>
      <c r="L51" s="30" t="n">
        <f aca="false">IF(I51&lt;=$M$7,J51*$M$6/12,0)</f>
        <v>114.151152020644</v>
      </c>
      <c r="M51" s="30" t="n">
        <f aca="false">IF(I51&lt;=$M$7,MIN($M$8-L51,J51),0)</f>
        <v>517.948428139587</v>
      </c>
      <c r="N51" s="30" t="n">
        <f aca="false">J51-M51</f>
        <v>13180.1898143377</v>
      </c>
    </row>
    <row r="52" customFormat="false" ht="15" hidden="false" customHeight="false" outlineLevel="0" collapsed="false">
      <c r="B52" s="32" t="n">
        <v>38</v>
      </c>
      <c r="C52" s="30" t="n">
        <f aca="false">G51</f>
        <v>36259.2482042888</v>
      </c>
      <c r="D52" s="30" t="n">
        <f aca="false">E52+F52</f>
        <v>1755.70066311595</v>
      </c>
      <c r="E52" s="30" t="n">
        <f aca="false">IF(B52&lt;=$F$7,C52*$F$6/12,0)</f>
        <v>332.376441872648</v>
      </c>
      <c r="F52" s="30" t="n">
        <f aca="false">IF(B52&lt;=$F$7,MIN($F$8-E52,C52),0)</f>
        <v>1423.3242212433</v>
      </c>
      <c r="G52" s="30" t="n">
        <f aca="false">C52-F52</f>
        <v>34835.9239830455</v>
      </c>
      <c r="I52" s="32" t="n">
        <v>38</v>
      </c>
      <c r="J52" s="30" t="n">
        <f aca="false">N51</f>
        <v>13180.1898143377</v>
      </c>
      <c r="K52" s="30" t="n">
        <f aca="false">L52+M52</f>
        <v>632.099580160231</v>
      </c>
      <c r="L52" s="30" t="n">
        <f aca="false">IF(I52&lt;=$M$7,J52*$M$6/12,0)</f>
        <v>109.834915119481</v>
      </c>
      <c r="M52" s="30" t="n">
        <f aca="false">IF(I52&lt;=$M$7,MIN($M$8-L52,J52),0)</f>
        <v>522.264665040751</v>
      </c>
      <c r="N52" s="30" t="n">
        <f aca="false">J52-M52</f>
        <v>12657.9251492969</v>
      </c>
    </row>
    <row r="53" customFormat="false" ht="15" hidden="false" customHeight="false" outlineLevel="0" collapsed="false">
      <c r="B53" s="32" t="n">
        <v>39</v>
      </c>
      <c r="C53" s="30" t="n">
        <f aca="false">G52</f>
        <v>34835.9239830455</v>
      </c>
      <c r="D53" s="30" t="n">
        <f aca="false">E53+F53</f>
        <v>1755.70066311595</v>
      </c>
      <c r="E53" s="30" t="n">
        <f aca="false">IF(B53&lt;=$F$7,C53*$F$6/12,0)</f>
        <v>319.329303177917</v>
      </c>
      <c r="F53" s="30" t="n">
        <f aca="false">IF(B53&lt;=$F$7,MIN($F$8-E53,C53),0)</f>
        <v>1436.37135993803</v>
      </c>
      <c r="G53" s="30" t="n">
        <f aca="false">C53-F53</f>
        <v>33399.5526231075</v>
      </c>
      <c r="I53" s="32" t="n">
        <v>39</v>
      </c>
      <c r="J53" s="30" t="n">
        <f aca="false">N52</f>
        <v>12657.9251492969</v>
      </c>
      <c r="K53" s="30" t="n">
        <f aca="false">L53+M53</f>
        <v>632.099580160231</v>
      </c>
      <c r="L53" s="30" t="n">
        <f aca="false">IF(I53&lt;=$M$7,J53*$M$6/12,0)</f>
        <v>105.482709577474</v>
      </c>
      <c r="M53" s="30" t="n">
        <f aca="false">IF(I53&lt;=$M$7,MIN($M$8-L53,J53),0)</f>
        <v>526.616870582757</v>
      </c>
      <c r="N53" s="30" t="n">
        <f aca="false">J53-M53</f>
        <v>12131.3082787142</v>
      </c>
    </row>
    <row r="54" customFormat="false" ht="15" hidden="false" customHeight="false" outlineLevel="0" collapsed="false">
      <c r="B54" s="32" t="n">
        <v>40</v>
      </c>
      <c r="C54" s="30" t="n">
        <f aca="false">G53</f>
        <v>33399.5526231075</v>
      </c>
      <c r="D54" s="30" t="n">
        <f aca="false">E54+F54</f>
        <v>1755.70066311595</v>
      </c>
      <c r="E54" s="30" t="n">
        <f aca="false">IF(B54&lt;=$F$7,C54*$F$6/12,0)</f>
        <v>306.162565711819</v>
      </c>
      <c r="F54" s="30" t="n">
        <f aca="false">IF(B54&lt;=$F$7,MIN($F$8-E54,C54),0)</f>
        <v>1449.53809740413</v>
      </c>
      <c r="G54" s="30" t="n">
        <f aca="false">C54-F54</f>
        <v>31950.0145257034</v>
      </c>
      <c r="I54" s="32" t="n">
        <v>40</v>
      </c>
      <c r="J54" s="30" t="n">
        <f aca="false">N53</f>
        <v>12131.3082787142</v>
      </c>
      <c r="K54" s="30" t="n">
        <f aca="false">L54+M54</f>
        <v>632.099580160231</v>
      </c>
      <c r="L54" s="30" t="n">
        <f aca="false">IF(I54&lt;=$M$7,J54*$M$6/12,0)</f>
        <v>101.094235655951</v>
      </c>
      <c r="M54" s="30" t="n">
        <f aca="false">IF(I54&lt;=$M$7,MIN($M$8-L54,J54),0)</f>
        <v>531.00534450428</v>
      </c>
      <c r="N54" s="30" t="n">
        <f aca="false">J54-M54</f>
        <v>11600.3029342099</v>
      </c>
    </row>
    <row r="55" customFormat="false" ht="15" hidden="false" customHeight="false" outlineLevel="0" collapsed="false">
      <c r="B55" s="32" t="n">
        <v>41</v>
      </c>
      <c r="C55" s="30" t="n">
        <f aca="false">G54</f>
        <v>31950.0145257034</v>
      </c>
      <c r="D55" s="30" t="n">
        <f aca="false">E55+F55</f>
        <v>1755.70066311595</v>
      </c>
      <c r="E55" s="30" t="n">
        <f aca="false">IF(B55&lt;=$F$7,C55*$F$6/12,0)</f>
        <v>292.875133152281</v>
      </c>
      <c r="F55" s="30" t="n">
        <f aca="false">IF(B55&lt;=$F$7,MIN($F$8-E55,C55),0)</f>
        <v>1462.82552996367</v>
      </c>
      <c r="G55" s="30" t="n">
        <f aca="false">C55-F55</f>
        <v>30487.1889957397</v>
      </c>
      <c r="I55" s="32" t="n">
        <v>41</v>
      </c>
      <c r="J55" s="30" t="n">
        <f aca="false">N54</f>
        <v>11600.3029342099</v>
      </c>
      <c r="K55" s="30" t="n">
        <f aca="false">L55+M55</f>
        <v>632.099580160231</v>
      </c>
      <c r="L55" s="30" t="n">
        <f aca="false">IF(I55&lt;=$M$7,J55*$M$6/12,0)</f>
        <v>96.6691911184158</v>
      </c>
      <c r="M55" s="30" t="n">
        <f aca="false">IF(I55&lt;=$M$7,MIN($M$8-L55,J55),0)</f>
        <v>535.430389041815</v>
      </c>
      <c r="N55" s="30" t="n">
        <f aca="false">J55-M55</f>
        <v>11064.8725451681</v>
      </c>
    </row>
    <row r="56" customFormat="false" ht="15" hidden="false" customHeight="false" outlineLevel="0" collapsed="false">
      <c r="B56" s="32" t="n">
        <v>42</v>
      </c>
      <c r="C56" s="30" t="n">
        <f aca="false">G55</f>
        <v>30487.1889957397</v>
      </c>
      <c r="D56" s="30" t="n">
        <f aca="false">E56+F56</f>
        <v>1755.70066311595</v>
      </c>
      <c r="E56" s="30" t="n">
        <f aca="false">IF(B56&lt;=$F$7,C56*$F$6/12,0)</f>
        <v>279.465899127614</v>
      </c>
      <c r="F56" s="30" t="n">
        <f aca="false">IF(B56&lt;=$F$7,MIN($F$8-E56,C56),0)</f>
        <v>1476.23476398833</v>
      </c>
      <c r="G56" s="30" t="n">
        <f aca="false">C56-F56</f>
        <v>29010.9542317514</v>
      </c>
      <c r="I56" s="32" t="n">
        <v>42</v>
      </c>
      <c r="J56" s="30" t="n">
        <f aca="false">N55</f>
        <v>11064.8725451681</v>
      </c>
      <c r="K56" s="30" t="n">
        <f aca="false">L56+M56</f>
        <v>632.099580160231</v>
      </c>
      <c r="L56" s="30" t="n">
        <f aca="false">IF(I56&lt;=$M$7,J56*$M$6/12,0)</f>
        <v>92.207271209734</v>
      </c>
      <c r="M56" s="30" t="n">
        <f aca="false">IF(I56&lt;=$M$7,MIN($M$8-L56,J56),0)</f>
        <v>539.892308950497</v>
      </c>
      <c r="N56" s="30" t="n">
        <f aca="false">J56-M56</f>
        <v>10524.9802362176</v>
      </c>
    </row>
    <row r="57" customFormat="false" ht="15" hidden="false" customHeight="false" outlineLevel="0" collapsed="false">
      <c r="B57" s="32" t="n">
        <v>43</v>
      </c>
      <c r="C57" s="30" t="n">
        <f aca="false">G56</f>
        <v>29010.9542317514</v>
      </c>
      <c r="D57" s="30" t="n">
        <f aca="false">E57+F57</f>
        <v>1755.70066311595</v>
      </c>
      <c r="E57" s="30" t="n">
        <f aca="false">IF(B57&lt;=$F$7,C57*$F$6/12,0)</f>
        <v>265.933747124388</v>
      </c>
      <c r="F57" s="30" t="n">
        <f aca="false">IF(B57&lt;=$F$7,MIN($F$8-E57,C57),0)</f>
        <v>1489.76691599156</v>
      </c>
      <c r="G57" s="30" t="n">
        <f aca="false">C57-F57</f>
        <v>27521.1873157598</v>
      </c>
      <c r="I57" s="32" t="n">
        <v>43</v>
      </c>
      <c r="J57" s="30" t="n">
        <f aca="false">N56</f>
        <v>10524.9802362176</v>
      </c>
      <c r="K57" s="30" t="n">
        <f aca="false">L57+M57</f>
        <v>632.099580160231</v>
      </c>
      <c r="L57" s="30" t="n">
        <f aca="false">IF(I57&lt;=$M$7,J57*$M$6/12,0)</f>
        <v>87.7081686351466</v>
      </c>
      <c r="M57" s="30" t="n">
        <f aca="false">IF(I57&lt;=$M$7,MIN($M$8-L57,J57),0)</f>
        <v>544.391411525085</v>
      </c>
      <c r="N57" s="30" t="n">
        <f aca="false">J57-M57</f>
        <v>9980.5888246925</v>
      </c>
    </row>
    <row r="58" customFormat="false" ht="15" hidden="false" customHeight="false" outlineLevel="0" collapsed="false">
      <c r="B58" s="32" t="n">
        <v>44</v>
      </c>
      <c r="C58" s="30" t="n">
        <f aca="false">G57</f>
        <v>27521.1873157598</v>
      </c>
      <c r="D58" s="30" t="n">
        <f aca="false">E58+F58</f>
        <v>1755.70066311595</v>
      </c>
      <c r="E58" s="30" t="n">
        <f aca="false">IF(B58&lt;=$F$7,C58*$F$6/12,0)</f>
        <v>252.277550394465</v>
      </c>
      <c r="F58" s="30" t="n">
        <f aca="false">IF(B58&lt;=$F$7,MIN($F$8-E58,C58),0)</f>
        <v>1503.42311272148</v>
      </c>
      <c r="G58" s="30" t="n">
        <f aca="false">C58-F58</f>
        <v>26017.7642030383</v>
      </c>
      <c r="I58" s="32" t="n">
        <v>44</v>
      </c>
      <c r="J58" s="30" t="n">
        <f aca="false">N57</f>
        <v>9980.5888246925</v>
      </c>
      <c r="K58" s="30" t="n">
        <f aca="false">L58+M58</f>
        <v>632.099580160231</v>
      </c>
      <c r="L58" s="30" t="n">
        <f aca="false">IF(I58&lt;=$M$7,J58*$M$6/12,0)</f>
        <v>83.1715735391042</v>
      </c>
      <c r="M58" s="30" t="n">
        <f aca="false">IF(I58&lt;=$M$7,MIN($M$8-L58,J58),0)</f>
        <v>548.928006621127</v>
      </c>
      <c r="N58" s="30" t="n">
        <f aca="false">J58-M58</f>
        <v>9431.66081807137</v>
      </c>
    </row>
    <row r="59" customFormat="false" ht="15" hidden="false" customHeight="false" outlineLevel="0" collapsed="false">
      <c r="B59" s="32" t="n">
        <v>45</v>
      </c>
      <c r="C59" s="30" t="n">
        <f aca="false">G58</f>
        <v>26017.7642030383</v>
      </c>
      <c r="D59" s="30" t="n">
        <f aca="false">E59+F59</f>
        <v>1755.70066311595</v>
      </c>
      <c r="E59" s="30" t="n">
        <f aca="false">IF(B59&lt;=$F$7,C59*$F$6/12,0)</f>
        <v>238.496171861185</v>
      </c>
      <c r="F59" s="30" t="n">
        <f aca="false">IF(B59&lt;=$F$7,MIN($F$8-E59,C59),0)</f>
        <v>1517.20449125476</v>
      </c>
      <c r="G59" s="30" t="n">
        <f aca="false">C59-F59</f>
        <v>24500.5597117836</v>
      </c>
      <c r="I59" s="32" t="n">
        <v>45</v>
      </c>
      <c r="J59" s="30" t="n">
        <f aca="false">N58</f>
        <v>9431.66081807137</v>
      </c>
      <c r="K59" s="30" t="n">
        <f aca="false">L59+M59</f>
        <v>632.099580160231</v>
      </c>
      <c r="L59" s="30" t="n">
        <f aca="false">IF(I59&lt;=$M$7,J59*$M$6/12,0)</f>
        <v>78.5971734839281</v>
      </c>
      <c r="M59" s="30" t="n">
        <f aca="false">IF(I59&lt;=$M$7,MIN($M$8-L59,J59),0)</f>
        <v>553.502406676303</v>
      </c>
      <c r="N59" s="30" t="n">
        <f aca="false">J59-M59</f>
        <v>8878.15841139507</v>
      </c>
    </row>
    <row r="60" customFormat="false" ht="15" hidden="false" customHeight="false" outlineLevel="0" collapsed="false">
      <c r="B60" s="32" t="n">
        <v>46</v>
      </c>
      <c r="C60" s="30" t="n">
        <f aca="false">G59</f>
        <v>24500.5597117836</v>
      </c>
      <c r="D60" s="30" t="n">
        <f aca="false">E60+F60</f>
        <v>1755.70066311595</v>
      </c>
      <c r="E60" s="30" t="n">
        <f aca="false">IF(B60&lt;=$F$7,C60*$F$6/12,0)</f>
        <v>224.588464024683</v>
      </c>
      <c r="F60" s="30" t="n">
        <f aca="false">IF(B60&lt;=$F$7,MIN($F$8-E60,C60),0)</f>
        <v>1531.11219909126</v>
      </c>
      <c r="G60" s="30" t="n">
        <f aca="false">C60-F60</f>
        <v>22969.4475126923</v>
      </c>
      <c r="I60" s="32" t="n">
        <v>46</v>
      </c>
      <c r="J60" s="30" t="n">
        <f aca="false">N59</f>
        <v>8878.15841139507</v>
      </c>
      <c r="K60" s="30" t="n">
        <f aca="false">L60+M60</f>
        <v>632.099580160231</v>
      </c>
      <c r="L60" s="30" t="n">
        <f aca="false">IF(I60&lt;=$M$7,J60*$M$6/12,0)</f>
        <v>73.9846534282923</v>
      </c>
      <c r="M60" s="30" t="n">
        <f aca="false">IF(I60&lt;=$M$7,MIN($M$8-L60,J60),0)</f>
        <v>558.114926731939</v>
      </c>
      <c r="N60" s="30" t="n">
        <f aca="false">J60-M60</f>
        <v>8320.04348466313</v>
      </c>
    </row>
    <row r="61" customFormat="false" ht="15" hidden="false" customHeight="false" outlineLevel="0" collapsed="false">
      <c r="B61" s="32" t="n">
        <v>47</v>
      </c>
      <c r="C61" s="30" t="n">
        <f aca="false">G60</f>
        <v>22969.4475126923</v>
      </c>
      <c r="D61" s="30" t="n">
        <f aca="false">E61+F61</f>
        <v>1755.70066311595</v>
      </c>
      <c r="E61" s="30" t="n">
        <f aca="false">IF(B61&lt;=$F$7,C61*$F$6/12,0)</f>
        <v>210.553268866346</v>
      </c>
      <c r="F61" s="30" t="n">
        <f aca="false">IF(B61&lt;=$F$7,MIN($F$8-E61,C61),0)</f>
        <v>1545.1473942496</v>
      </c>
      <c r="G61" s="30" t="n">
        <f aca="false">C61-F61</f>
        <v>21424.3001184427</v>
      </c>
      <c r="I61" s="32" t="n">
        <v>47</v>
      </c>
      <c r="J61" s="30" t="n">
        <f aca="false">N60</f>
        <v>8320.04348466313</v>
      </c>
      <c r="K61" s="30" t="n">
        <f aca="false">L61+M61</f>
        <v>632.099580160231</v>
      </c>
      <c r="L61" s="30" t="n">
        <f aca="false">IF(I61&lt;=$M$7,J61*$M$6/12,0)</f>
        <v>69.3336957055261</v>
      </c>
      <c r="M61" s="30" t="n">
        <f aca="false">IF(I61&lt;=$M$7,MIN($M$8-L61,J61),0)</f>
        <v>562.765884454705</v>
      </c>
      <c r="N61" s="30" t="n">
        <f aca="false">J61-M61</f>
        <v>7757.27760020843</v>
      </c>
    </row>
    <row r="62" customFormat="false" ht="15" hidden="false" customHeight="false" outlineLevel="0" collapsed="false">
      <c r="B62" s="32" t="n">
        <v>48</v>
      </c>
      <c r="C62" s="30" t="n">
        <f aca="false">G61</f>
        <v>21424.3001184427</v>
      </c>
      <c r="D62" s="30" t="n">
        <f aca="false">E62+F62</f>
        <v>1755.70066311595</v>
      </c>
      <c r="E62" s="30" t="n">
        <f aca="false">IF(B62&lt;=$F$7,C62*$F$6/12,0)</f>
        <v>196.389417752391</v>
      </c>
      <c r="F62" s="30" t="n">
        <f aca="false">IF(B62&lt;=$F$7,MIN($F$8-E62,C62),0)</f>
        <v>1559.31124536356</v>
      </c>
      <c r="G62" s="30" t="n">
        <f aca="false">C62-F62</f>
        <v>19864.9888730792</v>
      </c>
      <c r="I62" s="32" t="n">
        <v>48</v>
      </c>
      <c r="J62" s="30" t="n">
        <f aca="false">N61</f>
        <v>7757.27760020843</v>
      </c>
      <c r="K62" s="30" t="n">
        <f aca="false">L62+M62</f>
        <v>632.099580160231</v>
      </c>
      <c r="L62" s="30" t="n">
        <f aca="false">IF(I62&lt;=$M$7,J62*$M$6/12,0)</f>
        <v>64.6439800017369</v>
      </c>
      <c r="M62" s="30" t="n">
        <f aca="false">IF(I62&lt;=$M$7,MIN($M$8-L62,J62),0)</f>
        <v>567.455600158494</v>
      </c>
      <c r="N62" s="30" t="n">
        <f aca="false">J62-M62</f>
        <v>7189.82200004993</v>
      </c>
    </row>
    <row r="63" customFormat="false" ht="15" hidden="false" customHeight="false" outlineLevel="0" collapsed="false">
      <c r="B63" s="32" t="n">
        <v>49</v>
      </c>
      <c r="C63" s="30" t="n">
        <f aca="false">G62</f>
        <v>19864.9888730792</v>
      </c>
      <c r="D63" s="30" t="n">
        <f aca="false">E63+F63</f>
        <v>1755.70066311595</v>
      </c>
      <c r="E63" s="30" t="n">
        <f aca="false">IF(B63&lt;=$F$7,C63*$F$6/12,0)</f>
        <v>182.095731336559</v>
      </c>
      <c r="F63" s="30" t="n">
        <f aca="false">IF(B63&lt;=$F$7,MIN($F$8-E63,C63),0)</f>
        <v>1573.60493177939</v>
      </c>
      <c r="G63" s="30" t="n">
        <f aca="false">C63-F63</f>
        <v>18291.3839412998</v>
      </c>
      <c r="I63" s="32" t="n">
        <v>49</v>
      </c>
      <c r="J63" s="30" t="n">
        <f aca="false">N62</f>
        <v>7189.82200004993</v>
      </c>
      <c r="K63" s="30" t="n">
        <f aca="false">L63+M63</f>
        <v>632.099580160231</v>
      </c>
      <c r="L63" s="30" t="n">
        <f aca="false">IF(I63&lt;=$M$7,J63*$M$6/12,0)</f>
        <v>59.9151833337494</v>
      </c>
      <c r="M63" s="30" t="n">
        <f aca="false">IF(I63&lt;=$M$7,MIN($M$8-L63,J63),0)</f>
        <v>572.184396826482</v>
      </c>
      <c r="N63" s="30" t="n">
        <f aca="false">J63-M63</f>
        <v>6617.63760322345</v>
      </c>
    </row>
    <row r="64" customFormat="false" ht="15" hidden="false" customHeight="false" outlineLevel="0" collapsed="false">
      <c r="B64" s="32" t="n">
        <v>50</v>
      </c>
      <c r="C64" s="30" t="n">
        <f aca="false">G63</f>
        <v>18291.3839412998</v>
      </c>
      <c r="D64" s="30" t="n">
        <f aca="false">E64+F64</f>
        <v>1755.70066311595</v>
      </c>
      <c r="E64" s="30" t="n">
        <f aca="false">IF(B64&lt;=$F$7,C64*$F$6/12,0)</f>
        <v>167.671019461914</v>
      </c>
      <c r="F64" s="30" t="n">
        <f aca="false">IF(B64&lt;=$F$7,MIN($F$8-E64,C64),0)</f>
        <v>1588.02964365403</v>
      </c>
      <c r="G64" s="30" t="n">
        <f aca="false">C64-F64</f>
        <v>16703.3542976457</v>
      </c>
      <c r="I64" s="32" t="n">
        <v>50</v>
      </c>
      <c r="J64" s="30" t="n">
        <f aca="false">N63</f>
        <v>6617.63760322345</v>
      </c>
      <c r="K64" s="30" t="n">
        <f aca="false">L64+M64</f>
        <v>632.099580160231</v>
      </c>
      <c r="L64" s="30" t="n">
        <f aca="false">IF(I64&lt;=$M$7,J64*$M$6/12,0)</f>
        <v>55.1469800268621</v>
      </c>
      <c r="M64" s="30" t="n">
        <f aca="false">IF(I64&lt;=$M$7,MIN($M$8-L64,J64),0)</f>
        <v>576.952600133369</v>
      </c>
      <c r="N64" s="30" t="n">
        <f aca="false">J64-M64</f>
        <v>6040.68500309008</v>
      </c>
    </row>
    <row r="65" customFormat="false" ht="15" hidden="false" customHeight="false" outlineLevel="0" collapsed="false">
      <c r="B65" s="32" t="n">
        <v>51</v>
      </c>
      <c r="C65" s="30" t="n">
        <f aca="false">G64</f>
        <v>16703.3542976457</v>
      </c>
      <c r="D65" s="30" t="n">
        <f aca="false">E65+F65</f>
        <v>1755.70066311595</v>
      </c>
      <c r="E65" s="30" t="n">
        <f aca="false">IF(B65&lt;=$F$7,C65*$F$6/12,0)</f>
        <v>153.114081061753</v>
      </c>
      <c r="F65" s="30" t="n">
        <f aca="false">IF(B65&lt;=$F$7,MIN($F$8-E65,C65),0)</f>
        <v>1602.58658205419</v>
      </c>
      <c r="G65" s="30" t="n">
        <f aca="false">C65-F65</f>
        <v>15100.7677155915</v>
      </c>
      <c r="I65" s="32" t="n">
        <v>51</v>
      </c>
      <c r="J65" s="30" t="n">
        <f aca="false">N64</f>
        <v>6040.68500309008</v>
      </c>
      <c r="K65" s="30" t="n">
        <f aca="false">L65+M65</f>
        <v>632.099580160231</v>
      </c>
      <c r="L65" s="30" t="n">
        <f aca="false">IF(I65&lt;=$M$7,J65*$M$6/12,0)</f>
        <v>50.3390416924173</v>
      </c>
      <c r="M65" s="30" t="n">
        <f aca="false">IF(I65&lt;=$M$7,MIN($M$8-L65,J65),0)</f>
        <v>581.760538467814</v>
      </c>
      <c r="N65" s="30" t="n">
        <f aca="false">J65-M65</f>
        <v>5458.92446462227</v>
      </c>
    </row>
    <row r="66" customFormat="false" ht="15" hidden="false" customHeight="false" outlineLevel="0" collapsed="false">
      <c r="B66" s="32" t="n">
        <v>52</v>
      </c>
      <c r="C66" s="30" t="n">
        <f aca="false">G65</f>
        <v>15100.7677155915</v>
      </c>
      <c r="D66" s="30" t="n">
        <f aca="false">E66+F66</f>
        <v>1755.70066311595</v>
      </c>
      <c r="E66" s="30" t="n">
        <f aca="false">IF(B66&lt;=$F$7,C66*$F$6/12,0)</f>
        <v>138.423704059589</v>
      </c>
      <c r="F66" s="30" t="n">
        <f aca="false">IF(B66&lt;=$F$7,MIN($F$8-E66,C66),0)</f>
        <v>1617.27695905636</v>
      </c>
      <c r="G66" s="30" t="n">
        <f aca="false">C66-F66</f>
        <v>13483.4907565352</v>
      </c>
      <c r="I66" s="32" t="n">
        <v>52</v>
      </c>
      <c r="J66" s="30" t="n">
        <f aca="false">N65</f>
        <v>5458.92446462227</v>
      </c>
      <c r="K66" s="30" t="n">
        <f aca="false">L66+M66</f>
        <v>632.099580160231</v>
      </c>
      <c r="L66" s="30" t="n">
        <f aca="false">IF(I66&lt;=$M$7,J66*$M$6/12,0)</f>
        <v>45.4910372051856</v>
      </c>
      <c r="M66" s="30" t="n">
        <f aca="false">IF(I66&lt;=$M$7,MIN($M$8-L66,J66),0)</f>
        <v>586.608542955046</v>
      </c>
      <c r="N66" s="30" t="n">
        <f aca="false">J66-M66</f>
        <v>4872.31592166722</v>
      </c>
    </row>
    <row r="67" customFormat="false" ht="15" hidden="false" customHeight="false" outlineLevel="0" collapsed="false">
      <c r="B67" s="32" t="n">
        <v>53</v>
      </c>
      <c r="C67" s="30" t="n">
        <f aca="false">G66</f>
        <v>13483.4907565352</v>
      </c>
      <c r="D67" s="30" t="n">
        <f aca="false">E67+F67</f>
        <v>1755.70066311595</v>
      </c>
      <c r="E67" s="30" t="n">
        <f aca="false">IF(B67&lt;=$F$7,C67*$F$6/12,0)</f>
        <v>123.598665268239</v>
      </c>
      <c r="F67" s="30" t="n">
        <f aca="false">IF(B67&lt;=$F$7,MIN($F$8-E67,C67),0)</f>
        <v>1632.10199784771</v>
      </c>
      <c r="G67" s="30" t="n">
        <f aca="false">C67-F67</f>
        <v>11851.3887586875</v>
      </c>
      <c r="I67" s="32" t="n">
        <v>53</v>
      </c>
      <c r="J67" s="30" t="n">
        <f aca="false">N66</f>
        <v>4872.31592166722</v>
      </c>
      <c r="K67" s="30" t="n">
        <f aca="false">L67+M67</f>
        <v>632.099580160231</v>
      </c>
      <c r="L67" s="30" t="n">
        <f aca="false">IF(I67&lt;=$M$7,J67*$M$6/12,0)</f>
        <v>40.6026326805602</v>
      </c>
      <c r="M67" s="30" t="n">
        <f aca="false">IF(I67&lt;=$M$7,MIN($M$8-L67,J67),0)</f>
        <v>591.496947479671</v>
      </c>
      <c r="N67" s="30" t="n">
        <f aca="false">J67-M67</f>
        <v>4280.81897418755</v>
      </c>
    </row>
    <row r="68" customFormat="false" ht="15" hidden="false" customHeight="false" outlineLevel="0" collapsed="false">
      <c r="B68" s="32" t="n">
        <v>54</v>
      </c>
      <c r="C68" s="30" t="n">
        <f aca="false">G67</f>
        <v>11851.3887586875</v>
      </c>
      <c r="D68" s="30" t="n">
        <f aca="false">E68+F68</f>
        <v>1755.70066311595</v>
      </c>
      <c r="E68" s="30" t="n">
        <f aca="false">IF(B68&lt;=$F$7,C68*$F$6/12,0)</f>
        <v>108.637730287968</v>
      </c>
      <c r="F68" s="30" t="n">
        <f aca="false">IF(B68&lt;=$F$7,MIN($F$8-E68,C68),0)</f>
        <v>1647.06293282798</v>
      </c>
      <c r="G68" s="30" t="n">
        <f aca="false">C68-F68</f>
        <v>10204.3258258595</v>
      </c>
      <c r="I68" s="32" t="n">
        <v>54</v>
      </c>
      <c r="J68" s="30" t="n">
        <f aca="false">N67</f>
        <v>4280.81897418755</v>
      </c>
      <c r="K68" s="30" t="n">
        <f aca="false">L68+M68</f>
        <v>632.099580160231</v>
      </c>
      <c r="L68" s="30" t="n">
        <f aca="false">IF(I68&lt;=$M$7,J68*$M$6/12,0)</f>
        <v>35.6734914515629</v>
      </c>
      <c r="M68" s="30" t="n">
        <f aca="false">IF(I68&lt;=$M$7,MIN($M$8-L68,J68),0)</f>
        <v>596.426088708668</v>
      </c>
      <c r="N68" s="30" t="n">
        <f aca="false">J68-M68</f>
        <v>3684.39288547888</v>
      </c>
    </row>
    <row r="69" customFormat="false" ht="15" hidden="false" customHeight="false" outlineLevel="0" collapsed="false">
      <c r="B69" s="32" t="n">
        <v>55</v>
      </c>
      <c r="C69" s="30" t="n">
        <f aca="false">G68</f>
        <v>10204.3258258595</v>
      </c>
      <c r="D69" s="30" t="n">
        <f aca="false">E69+F69</f>
        <v>1755.70066311595</v>
      </c>
      <c r="E69" s="30" t="n">
        <f aca="false">IF(B69&lt;=$F$7,C69*$F$6/12,0)</f>
        <v>93.539653403712</v>
      </c>
      <c r="F69" s="30" t="n">
        <f aca="false">IF(B69&lt;=$F$7,MIN($F$8-E69,C69),0)</f>
        <v>1662.16100971224</v>
      </c>
      <c r="G69" s="30" t="n">
        <f aca="false">C69-F69</f>
        <v>8542.16481614725</v>
      </c>
      <c r="I69" s="32" t="n">
        <v>55</v>
      </c>
      <c r="J69" s="30" t="n">
        <f aca="false">N68</f>
        <v>3684.39288547888</v>
      </c>
      <c r="K69" s="30" t="n">
        <f aca="false">L69+M69</f>
        <v>632.099580160231</v>
      </c>
      <c r="L69" s="30" t="n">
        <f aca="false">IF(I69&lt;=$M$7,J69*$M$6/12,0)</f>
        <v>30.7032740456574</v>
      </c>
      <c r="M69" s="30" t="n">
        <f aca="false">IF(I69&lt;=$M$7,MIN($M$8-L69,J69),0)</f>
        <v>601.396306114574</v>
      </c>
      <c r="N69" s="30" t="n">
        <f aca="false">J69-M69</f>
        <v>3082.99657936431</v>
      </c>
    </row>
    <row r="70" customFormat="false" ht="15" hidden="false" customHeight="false" outlineLevel="0" collapsed="false">
      <c r="B70" s="32" t="n">
        <v>56</v>
      </c>
      <c r="C70" s="30" t="n">
        <f aca="false">G69</f>
        <v>8542.16481614725</v>
      </c>
      <c r="D70" s="30" t="n">
        <f aca="false">E70+F70</f>
        <v>1755.70066311595</v>
      </c>
      <c r="E70" s="30" t="n">
        <f aca="false">IF(B70&lt;=$F$7,C70*$F$6/12,0)</f>
        <v>78.3031774813498</v>
      </c>
      <c r="F70" s="30" t="n">
        <f aca="false">IF(B70&lt;=$F$7,MIN($F$8-E70,C70),0)</f>
        <v>1677.3974856346</v>
      </c>
      <c r="G70" s="30" t="n">
        <f aca="false">C70-F70</f>
        <v>6864.76733051265</v>
      </c>
      <c r="I70" s="32" t="n">
        <v>56</v>
      </c>
      <c r="J70" s="30" t="n">
        <f aca="false">N69</f>
        <v>3082.99657936431</v>
      </c>
      <c r="K70" s="30" t="n">
        <f aca="false">L70+M70</f>
        <v>632.099580160231</v>
      </c>
      <c r="L70" s="30" t="n">
        <f aca="false">IF(I70&lt;=$M$7,J70*$M$6/12,0)</f>
        <v>25.6916381613692</v>
      </c>
      <c r="M70" s="30" t="n">
        <f aca="false">IF(I70&lt;=$M$7,MIN($M$8-L70,J70),0)</f>
        <v>606.407941998862</v>
      </c>
      <c r="N70" s="30" t="n">
        <f aca="false">J70-M70</f>
        <v>2476.58863736545</v>
      </c>
    </row>
    <row r="71" customFormat="false" ht="15" hidden="false" customHeight="false" outlineLevel="0" collapsed="false">
      <c r="B71" s="32" t="n">
        <v>57</v>
      </c>
      <c r="C71" s="30" t="n">
        <f aca="false">G70</f>
        <v>6864.76733051265</v>
      </c>
      <c r="D71" s="30" t="n">
        <f aca="false">E71+F71</f>
        <v>1755.70066311595</v>
      </c>
      <c r="E71" s="30" t="n">
        <f aca="false">IF(B71&lt;=$F$7,C71*$F$6/12,0)</f>
        <v>62.9270338630327</v>
      </c>
      <c r="F71" s="30" t="n">
        <f aca="false">IF(B71&lt;=$F$7,MIN($F$8-E71,C71),0)</f>
        <v>1692.77362925291</v>
      </c>
      <c r="G71" s="30" t="n">
        <f aca="false">C71-F71</f>
        <v>5171.99370125974</v>
      </c>
      <c r="I71" s="32" t="n">
        <v>57</v>
      </c>
      <c r="J71" s="30" t="n">
        <f aca="false">N70</f>
        <v>2476.58863736545</v>
      </c>
      <c r="K71" s="30" t="n">
        <f aca="false">L71+M71</f>
        <v>632.099580160231</v>
      </c>
      <c r="L71" s="30" t="n">
        <f aca="false">IF(I71&lt;=$M$7,J71*$M$6/12,0)</f>
        <v>20.6382386447121</v>
      </c>
      <c r="M71" s="30" t="n">
        <f aca="false">IF(I71&lt;=$M$7,MIN($M$8-L71,J71),0)</f>
        <v>611.461341515519</v>
      </c>
      <c r="N71" s="30" t="n">
        <f aca="false">J71-M71</f>
        <v>1865.12729584993</v>
      </c>
    </row>
    <row r="72" customFormat="false" ht="15" hidden="false" customHeight="false" outlineLevel="0" collapsed="false">
      <c r="B72" s="32" t="n">
        <v>58</v>
      </c>
      <c r="C72" s="30" t="n">
        <f aca="false">G71</f>
        <v>5171.99370125974</v>
      </c>
      <c r="D72" s="30" t="n">
        <f aca="false">E72+F72</f>
        <v>1755.70066311595</v>
      </c>
      <c r="E72" s="30" t="n">
        <f aca="false">IF(B72&lt;=$F$7,C72*$F$6/12,0)</f>
        <v>47.4099422615476</v>
      </c>
      <c r="F72" s="30" t="n">
        <f aca="false">IF(B72&lt;=$F$7,MIN($F$8-E72,C72),0)</f>
        <v>1708.2907208544</v>
      </c>
      <c r="G72" s="30" t="n">
        <f aca="false">C72-F72</f>
        <v>3463.70298040534</v>
      </c>
      <c r="I72" s="32" t="n">
        <v>58</v>
      </c>
      <c r="J72" s="30" t="n">
        <f aca="false">N71</f>
        <v>1865.12729584993</v>
      </c>
      <c r="K72" s="30" t="n">
        <f aca="false">L72+M72</f>
        <v>632.099580160231</v>
      </c>
      <c r="L72" s="30" t="n">
        <f aca="false">IF(I72&lt;=$M$7,J72*$M$6/12,0)</f>
        <v>15.5427274654161</v>
      </c>
      <c r="M72" s="30" t="n">
        <f aca="false">IF(I72&lt;=$M$7,MIN($M$8-L72,J72),0)</f>
        <v>616.556852694815</v>
      </c>
      <c r="N72" s="30" t="n">
        <f aca="false">J72-M72</f>
        <v>1248.57044315511</v>
      </c>
    </row>
    <row r="73" customFormat="false" ht="15" hidden="false" customHeight="false" outlineLevel="0" collapsed="false">
      <c r="B73" s="32" t="n">
        <v>59</v>
      </c>
      <c r="C73" s="30" t="n">
        <f aca="false">G72</f>
        <v>3463.70298040534</v>
      </c>
      <c r="D73" s="30" t="n">
        <f aca="false">E73+F73</f>
        <v>1755.70066311595</v>
      </c>
      <c r="E73" s="30" t="n">
        <f aca="false">IF(B73&lt;=$F$7,C73*$F$6/12,0)</f>
        <v>31.7506106537156</v>
      </c>
      <c r="F73" s="30" t="n">
        <f aca="false">IF(B73&lt;=$F$7,MIN($F$8-E73,C73),0)</f>
        <v>1723.95005246223</v>
      </c>
      <c r="G73" s="30" t="n">
        <f aca="false">C73-F73</f>
        <v>1739.75292794311</v>
      </c>
      <c r="I73" s="32" t="n">
        <v>59</v>
      </c>
      <c r="J73" s="30" t="n">
        <f aca="false">N72</f>
        <v>1248.57044315511</v>
      </c>
      <c r="K73" s="30" t="n">
        <f aca="false">L73+M73</f>
        <v>632.099580160231</v>
      </c>
      <c r="L73" s="30" t="n">
        <f aca="false">IF(I73&lt;=$M$7,J73*$M$6/12,0)</f>
        <v>10.4047536929593</v>
      </c>
      <c r="M73" s="30" t="n">
        <f aca="false">IF(I73&lt;=$M$7,MIN($M$8-L73,J73),0)</f>
        <v>621.694826467272</v>
      </c>
      <c r="N73" s="30" t="n">
        <f aca="false">J73-M73</f>
        <v>626.87561668784</v>
      </c>
    </row>
    <row r="74" customFormat="false" ht="15" hidden="false" customHeight="false" outlineLevel="0" collapsed="false">
      <c r="B74" s="32" t="n">
        <v>60</v>
      </c>
      <c r="C74" s="30" t="n">
        <f aca="false">G73</f>
        <v>1739.75292794311</v>
      </c>
      <c r="D74" s="30" t="n">
        <f aca="false">E74+F74</f>
        <v>1755.70066311592</v>
      </c>
      <c r="E74" s="30" t="n">
        <f aca="false">IF(B74&lt;=$F$7,C74*$F$6/12,0)</f>
        <v>15.9477351728118</v>
      </c>
      <c r="F74" s="30" t="n">
        <f aca="false">IF(B74&lt;=$F$7,MIN($F$8-E74,C74),0)</f>
        <v>1739.75292794311</v>
      </c>
      <c r="G74" s="30" t="n">
        <f aca="false">C74-F74</f>
        <v>0</v>
      </c>
      <c r="I74" s="32" t="n">
        <v>60</v>
      </c>
      <c r="J74" s="30" t="n">
        <f aca="false">N73</f>
        <v>626.87561668784</v>
      </c>
      <c r="K74" s="30" t="n">
        <f aca="false">L74+M74</f>
        <v>632.099580160231</v>
      </c>
      <c r="L74" s="30" t="n">
        <f aca="false">IF(I74&lt;=$M$7,J74*$M$6/12,0)</f>
        <v>5.22396347239867</v>
      </c>
      <c r="M74" s="30" t="n">
        <f aca="false">IF(I74&lt;=$M$7,MIN($M$8-L74,J74),0)</f>
        <v>626.875616687833</v>
      </c>
      <c r="N74" s="30" t="n">
        <f aca="false">J74-M74</f>
        <v>7.61701812734827E-012</v>
      </c>
    </row>
    <row r="75" customFormat="false" ht="15" hidden="false" customHeight="false" outlineLevel="0" collapsed="false">
      <c r="B75" s="32" t="n">
        <v>61</v>
      </c>
      <c r="C75" s="30" t="n">
        <f aca="false">G74</f>
        <v>0</v>
      </c>
      <c r="D75" s="30" t="n">
        <f aca="false">E75+F75</f>
        <v>0</v>
      </c>
      <c r="E75" s="30" t="n">
        <f aca="false">IF(B75&lt;=$F$7,C75*$F$6/12,0)</f>
        <v>0</v>
      </c>
      <c r="F75" s="30" t="n">
        <f aca="false">IF(B75&lt;=$F$7,MIN($F$8-E75,C75),0)</f>
        <v>0</v>
      </c>
      <c r="G75" s="30" t="n">
        <f aca="false">C75-F75</f>
        <v>0</v>
      </c>
      <c r="I75" s="32" t="n">
        <v>61</v>
      </c>
      <c r="J75" s="30" t="n">
        <f aca="false">N74</f>
        <v>7.61701812734827E-012</v>
      </c>
      <c r="K75" s="30" t="n">
        <f aca="false">L75+M75</f>
        <v>0</v>
      </c>
      <c r="L75" s="30" t="n">
        <f aca="false">IF(I75&lt;=$M$7,J75*$M$6/12,0)</f>
        <v>0</v>
      </c>
      <c r="M75" s="30" t="n">
        <f aca="false">IF(I75&lt;=$M$7,MIN($M$8-L75,J75),0)</f>
        <v>0</v>
      </c>
      <c r="N75" s="30" t="n">
        <f aca="false">J75-M75</f>
        <v>7.61701812734827E-012</v>
      </c>
    </row>
    <row r="76" customFormat="false" ht="15" hidden="false" customHeight="false" outlineLevel="0" collapsed="false">
      <c r="B76" s="32" t="n">
        <v>62</v>
      </c>
      <c r="C76" s="30" t="n">
        <f aca="false">G75</f>
        <v>0</v>
      </c>
      <c r="D76" s="30" t="n">
        <f aca="false">E76+F76</f>
        <v>0</v>
      </c>
      <c r="E76" s="30" t="n">
        <f aca="false">IF(B76&lt;=$F$7,C76*$F$6/12,0)</f>
        <v>0</v>
      </c>
      <c r="F76" s="30" t="n">
        <f aca="false">IF(B76&lt;=$F$7,MIN($F$8-E76,C76),0)</f>
        <v>0</v>
      </c>
      <c r="G76" s="30" t="n">
        <f aca="false">C76-F76</f>
        <v>0</v>
      </c>
      <c r="I76" s="32" t="n">
        <v>62</v>
      </c>
      <c r="J76" s="30" t="n">
        <f aca="false">N75</f>
        <v>7.61701812734827E-012</v>
      </c>
      <c r="K76" s="30" t="n">
        <f aca="false">L76+M76</f>
        <v>0</v>
      </c>
      <c r="L76" s="30" t="n">
        <f aca="false">IF(I76&lt;=$M$7,J76*$M$6/12,0)</f>
        <v>0</v>
      </c>
      <c r="M76" s="30" t="n">
        <f aca="false">IF(I76&lt;=$M$7,MIN($M$8-L76,J76),0)</f>
        <v>0</v>
      </c>
      <c r="N76" s="30" t="n">
        <f aca="false">J76-M76</f>
        <v>7.61701812734827E-012</v>
      </c>
    </row>
    <row r="77" customFormat="false" ht="15" hidden="false" customHeight="false" outlineLevel="0" collapsed="false">
      <c r="B77" s="32" t="n">
        <v>63</v>
      </c>
      <c r="C77" s="30" t="n">
        <f aca="false">G76</f>
        <v>0</v>
      </c>
      <c r="D77" s="30" t="n">
        <f aca="false">E77+F77</f>
        <v>0</v>
      </c>
      <c r="E77" s="30" t="n">
        <f aca="false">IF(B77&lt;=$F$7,C77*$F$6/12,0)</f>
        <v>0</v>
      </c>
      <c r="F77" s="30" t="n">
        <f aca="false">IF(B77&lt;=$F$7,MIN($F$8-E77,C77),0)</f>
        <v>0</v>
      </c>
      <c r="G77" s="30" t="n">
        <f aca="false">C77-F77</f>
        <v>0</v>
      </c>
      <c r="I77" s="32" t="n">
        <v>63</v>
      </c>
      <c r="J77" s="30" t="n">
        <f aca="false">N76</f>
        <v>7.61701812734827E-012</v>
      </c>
      <c r="K77" s="30" t="n">
        <f aca="false">L77+M77</f>
        <v>0</v>
      </c>
      <c r="L77" s="30" t="n">
        <f aca="false">IF(I77&lt;=$M$7,J77*$M$6/12,0)</f>
        <v>0</v>
      </c>
      <c r="M77" s="30" t="n">
        <f aca="false">IF(I77&lt;=$M$7,MIN($M$8-L77,J77),0)</f>
        <v>0</v>
      </c>
      <c r="N77" s="30" t="n">
        <f aca="false">J77-M77</f>
        <v>7.61701812734827E-012</v>
      </c>
    </row>
    <row r="78" customFormat="false" ht="15" hidden="false" customHeight="false" outlineLevel="0" collapsed="false">
      <c r="B78" s="32" t="n">
        <v>64</v>
      </c>
      <c r="C78" s="30" t="n">
        <f aca="false">G77</f>
        <v>0</v>
      </c>
      <c r="D78" s="30" t="n">
        <f aca="false">E78+F78</f>
        <v>0</v>
      </c>
      <c r="E78" s="30" t="n">
        <f aca="false">IF(B78&lt;=$F$7,C78*$F$6/12,0)</f>
        <v>0</v>
      </c>
      <c r="F78" s="30" t="n">
        <f aca="false">IF(B78&lt;=$F$7,MIN($F$8-E78,C78),0)</f>
        <v>0</v>
      </c>
      <c r="G78" s="30" t="n">
        <f aca="false">C78-F78</f>
        <v>0</v>
      </c>
      <c r="I78" s="32" t="n">
        <v>64</v>
      </c>
      <c r="J78" s="30" t="n">
        <f aca="false">N77</f>
        <v>7.61701812734827E-012</v>
      </c>
      <c r="K78" s="30" t="n">
        <f aca="false">L78+M78</f>
        <v>0</v>
      </c>
      <c r="L78" s="30" t="n">
        <f aca="false">IF(I78&lt;=$M$7,J78*$M$6/12,0)</f>
        <v>0</v>
      </c>
      <c r="M78" s="30" t="n">
        <f aca="false">IF(I78&lt;=$M$7,MIN($M$8-L78,J78),0)</f>
        <v>0</v>
      </c>
      <c r="N78" s="30" t="n">
        <f aca="false">J78-M78</f>
        <v>7.61701812734827E-012</v>
      </c>
    </row>
    <row r="79" customFormat="false" ht="15" hidden="false" customHeight="false" outlineLevel="0" collapsed="false">
      <c r="B79" s="32" t="n">
        <v>65</v>
      </c>
      <c r="C79" s="30" t="n">
        <f aca="false">G78</f>
        <v>0</v>
      </c>
      <c r="D79" s="30" t="n">
        <f aca="false">E79+F79</f>
        <v>0</v>
      </c>
      <c r="E79" s="30" t="n">
        <f aca="false">IF(B79&lt;=$F$7,C79*$F$6/12,0)</f>
        <v>0</v>
      </c>
      <c r="F79" s="30" t="n">
        <f aca="false">IF(B79&lt;=$F$7,MIN($F$8-E79,C79),0)</f>
        <v>0</v>
      </c>
      <c r="G79" s="30" t="n">
        <f aca="false">C79-F79</f>
        <v>0</v>
      </c>
      <c r="I79" s="32" t="n">
        <v>65</v>
      </c>
      <c r="J79" s="30" t="n">
        <f aca="false">N78</f>
        <v>7.61701812734827E-012</v>
      </c>
      <c r="K79" s="30" t="n">
        <f aca="false">L79+M79</f>
        <v>0</v>
      </c>
      <c r="L79" s="30" t="n">
        <f aca="false">IF(I79&lt;=$M$7,J79*$M$6/12,0)</f>
        <v>0</v>
      </c>
      <c r="M79" s="30" t="n">
        <f aca="false">IF(I79&lt;=$M$7,MIN($M$8-L79,J79),0)</f>
        <v>0</v>
      </c>
      <c r="N79" s="30" t="n">
        <f aca="false">J79-M79</f>
        <v>7.61701812734827E-012</v>
      </c>
    </row>
    <row r="80" customFormat="false" ht="15" hidden="false" customHeight="false" outlineLevel="0" collapsed="false">
      <c r="B80" s="32" t="n">
        <v>66</v>
      </c>
      <c r="C80" s="30" t="n">
        <f aca="false">G79</f>
        <v>0</v>
      </c>
      <c r="D80" s="30" t="n">
        <f aca="false">E80+F80</f>
        <v>0</v>
      </c>
      <c r="E80" s="30" t="n">
        <f aca="false">IF(B80&lt;=$F$7,C80*$F$6/12,0)</f>
        <v>0</v>
      </c>
      <c r="F80" s="30" t="n">
        <f aca="false">IF(B80&lt;=$F$7,MIN($F$8-E80,C80),0)</f>
        <v>0</v>
      </c>
      <c r="G80" s="30" t="n">
        <f aca="false">C80-F80</f>
        <v>0</v>
      </c>
      <c r="I80" s="32" t="n">
        <v>66</v>
      </c>
      <c r="J80" s="30" t="n">
        <f aca="false">N79</f>
        <v>7.61701812734827E-012</v>
      </c>
      <c r="K80" s="30" t="n">
        <f aca="false">L80+M80</f>
        <v>0</v>
      </c>
      <c r="L80" s="30" t="n">
        <f aca="false">IF(I80&lt;=$M$7,J80*$M$6/12,0)</f>
        <v>0</v>
      </c>
      <c r="M80" s="30" t="n">
        <f aca="false">IF(I80&lt;=$M$7,MIN($M$8-L80,J80),0)</f>
        <v>0</v>
      </c>
      <c r="N80" s="30" t="n">
        <f aca="false">J80-M80</f>
        <v>7.61701812734827E-012</v>
      </c>
    </row>
    <row r="81" customFormat="false" ht="15" hidden="false" customHeight="false" outlineLevel="0" collapsed="false">
      <c r="B81" s="32" t="n">
        <v>67</v>
      </c>
      <c r="C81" s="30" t="n">
        <f aca="false">G80</f>
        <v>0</v>
      </c>
      <c r="D81" s="30" t="n">
        <f aca="false">E81+F81</f>
        <v>0</v>
      </c>
      <c r="E81" s="30" t="n">
        <f aca="false">IF(B81&lt;=$F$7,C81*$F$6/12,0)</f>
        <v>0</v>
      </c>
      <c r="F81" s="30" t="n">
        <f aca="false">IF(B81&lt;=$F$7,MIN($F$8-E81,C81),0)</f>
        <v>0</v>
      </c>
      <c r="G81" s="30" t="n">
        <f aca="false">C81-F81</f>
        <v>0</v>
      </c>
      <c r="I81" s="32" t="n">
        <v>67</v>
      </c>
      <c r="J81" s="30" t="n">
        <f aca="false">N80</f>
        <v>7.61701812734827E-012</v>
      </c>
      <c r="K81" s="30" t="n">
        <f aca="false">L81+M81</f>
        <v>0</v>
      </c>
      <c r="L81" s="30" t="n">
        <f aca="false">IF(I81&lt;=$M$7,J81*$M$6/12,0)</f>
        <v>0</v>
      </c>
      <c r="M81" s="30" t="n">
        <f aca="false">IF(I81&lt;=$M$7,MIN($M$8-L81,J81),0)</f>
        <v>0</v>
      </c>
      <c r="N81" s="30" t="n">
        <f aca="false">J81-M81</f>
        <v>7.61701812734827E-012</v>
      </c>
    </row>
    <row r="82" customFormat="false" ht="15" hidden="false" customHeight="false" outlineLevel="0" collapsed="false">
      <c r="B82" s="32" t="n">
        <v>68</v>
      </c>
      <c r="C82" s="30" t="n">
        <f aca="false">G81</f>
        <v>0</v>
      </c>
      <c r="D82" s="30" t="n">
        <f aca="false">E82+F82</f>
        <v>0</v>
      </c>
      <c r="E82" s="30" t="n">
        <f aca="false">IF(B82&lt;=$F$7,C82*$F$6/12,0)</f>
        <v>0</v>
      </c>
      <c r="F82" s="30" t="n">
        <f aca="false">IF(B82&lt;=$F$7,MIN($F$8-E82,C82),0)</f>
        <v>0</v>
      </c>
      <c r="G82" s="30" t="n">
        <f aca="false">C82-F82</f>
        <v>0</v>
      </c>
      <c r="I82" s="32" t="n">
        <v>68</v>
      </c>
      <c r="J82" s="30" t="n">
        <f aca="false">N81</f>
        <v>7.61701812734827E-012</v>
      </c>
      <c r="K82" s="30" t="n">
        <f aca="false">L82+M82</f>
        <v>0</v>
      </c>
      <c r="L82" s="30" t="n">
        <f aca="false">IF(I82&lt;=$M$7,J82*$M$6/12,0)</f>
        <v>0</v>
      </c>
      <c r="M82" s="30" t="n">
        <f aca="false">IF(I82&lt;=$M$7,MIN($M$8-L82,J82),0)</f>
        <v>0</v>
      </c>
      <c r="N82" s="30" t="n">
        <f aca="false">J82-M82</f>
        <v>7.61701812734827E-012</v>
      </c>
    </row>
    <row r="83" customFormat="false" ht="15" hidden="false" customHeight="false" outlineLevel="0" collapsed="false">
      <c r="B83" s="32" t="n">
        <v>69</v>
      </c>
      <c r="C83" s="30" t="n">
        <f aca="false">G82</f>
        <v>0</v>
      </c>
      <c r="D83" s="30" t="n">
        <f aca="false">E83+F83</f>
        <v>0</v>
      </c>
      <c r="E83" s="30" t="n">
        <f aca="false">IF(B83&lt;=$F$7,C83*$F$6/12,0)</f>
        <v>0</v>
      </c>
      <c r="F83" s="30" t="n">
        <f aca="false">IF(B83&lt;=$F$7,MIN($F$8-E83,C83),0)</f>
        <v>0</v>
      </c>
      <c r="G83" s="30" t="n">
        <f aca="false">C83-F83</f>
        <v>0</v>
      </c>
      <c r="I83" s="32" t="n">
        <v>69</v>
      </c>
      <c r="J83" s="30" t="n">
        <f aca="false">N82</f>
        <v>7.61701812734827E-012</v>
      </c>
      <c r="K83" s="30" t="n">
        <f aca="false">L83+M83</f>
        <v>0</v>
      </c>
      <c r="L83" s="30" t="n">
        <f aca="false">IF(I83&lt;=$M$7,J83*$M$6/12,0)</f>
        <v>0</v>
      </c>
      <c r="M83" s="30" t="n">
        <f aca="false">IF(I83&lt;=$M$7,MIN($M$8-L83,J83),0)</f>
        <v>0</v>
      </c>
      <c r="N83" s="30" t="n">
        <f aca="false">J83-M83</f>
        <v>7.61701812734827E-012</v>
      </c>
    </row>
    <row r="84" customFormat="false" ht="15" hidden="false" customHeight="false" outlineLevel="0" collapsed="false">
      <c r="B84" s="32" t="n">
        <v>70</v>
      </c>
      <c r="C84" s="30" t="n">
        <f aca="false">G83</f>
        <v>0</v>
      </c>
      <c r="D84" s="30" t="n">
        <f aca="false">E84+F84</f>
        <v>0</v>
      </c>
      <c r="E84" s="30" t="n">
        <f aca="false">IF(B84&lt;=$F$7,C84*$F$6/12,0)</f>
        <v>0</v>
      </c>
      <c r="F84" s="30" t="n">
        <f aca="false">IF(B84&lt;=$F$7,MIN($F$8-E84,C84),0)</f>
        <v>0</v>
      </c>
      <c r="G84" s="30" t="n">
        <f aca="false">C84-F84</f>
        <v>0</v>
      </c>
      <c r="I84" s="32" t="n">
        <v>70</v>
      </c>
      <c r="J84" s="30" t="n">
        <f aca="false">N83</f>
        <v>7.61701812734827E-012</v>
      </c>
      <c r="K84" s="30" t="n">
        <f aca="false">L84+M84</f>
        <v>0</v>
      </c>
      <c r="L84" s="30" t="n">
        <f aca="false">IF(I84&lt;=$M$7,J84*$M$6/12,0)</f>
        <v>0</v>
      </c>
      <c r="M84" s="30" t="n">
        <f aca="false">IF(I84&lt;=$M$7,MIN($M$8-L84,J84),0)</f>
        <v>0</v>
      </c>
      <c r="N84" s="30" t="n">
        <f aca="false">J84-M84</f>
        <v>7.61701812734827E-012</v>
      </c>
    </row>
    <row r="85" customFormat="false" ht="15" hidden="false" customHeight="false" outlineLevel="0" collapsed="false">
      <c r="B85" s="32" t="n">
        <v>71</v>
      </c>
      <c r="C85" s="30" t="n">
        <f aca="false">G84</f>
        <v>0</v>
      </c>
      <c r="D85" s="30" t="n">
        <f aca="false">E85+F85</f>
        <v>0</v>
      </c>
      <c r="E85" s="30" t="n">
        <f aca="false">IF(B85&lt;=$F$7,C85*$F$6/12,0)</f>
        <v>0</v>
      </c>
      <c r="F85" s="30" t="n">
        <f aca="false">IF(B85&lt;=$F$7,MIN($F$8-E85,C85),0)</f>
        <v>0</v>
      </c>
      <c r="G85" s="30" t="n">
        <f aca="false">C85-F85</f>
        <v>0</v>
      </c>
      <c r="I85" s="32" t="n">
        <v>71</v>
      </c>
      <c r="J85" s="30" t="n">
        <f aca="false">N84</f>
        <v>7.61701812734827E-012</v>
      </c>
      <c r="K85" s="30" t="n">
        <f aca="false">L85+M85</f>
        <v>0</v>
      </c>
      <c r="L85" s="30" t="n">
        <f aca="false">IF(I85&lt;=$M$7,J85*$M$6/12,0)</f>
        <v>0</v>
      </c>
      <c r="M85" s="30" t="n">
        <f aca="false">IF(I85&lt;=$M$7,MIN($M$8-L85,J85),0)</f>
        <v>0</v>
      </c>
      <c r="N85" s="30" t="n">
        <f aca="false">J85-M85</f>
        <v>7.61701812734827E-012</v>
      </c>
    </row>
    <row r="86" customFormat="false" ht="15" hidden="false" customHeight="false" outlineLevel="0" collapsed="false">
      <c r="B86" s="32" t="n">
        <v>72</v>
      </c>
      <c r="C86" s="30" t="n">
        <f aca="false">G85</f>
        <v>0</v>
      </c>
      <c r="D86" s="30" t="n">
        <f aca="false">E86+F86</f>
        <v>0</v>
      </c>
      <c r="E86" s="30" t="n">
        <f aca="false">IF(B86&lt;=$F$7,C86*$F$6/12,0)</f>
        <v>0</v>
      </c>
      <c r="F86" s="30" t="n">
        <f aca="false">IF(B86&lt;=$F$7,MIN($F$8-E86,C86),0)</f>
        <v>0</v>
      </c>
      <c r="G86" s="30" t="n">
        <f aca="false">C86-F86</f>
        <v>0</v>
      </c>
      <c r="I86" s="32" t="n">
        <v>72</v>
      </c>
      <c r="J86" s="30" t="n">
        <f aca="false">N85</f>
        <v>7.61701812734827E-012</v>
      </c>
      <c r="K86" s="30" t="n">
        <f aca="false">L86+M86</f>
        <v>0</v>
      </c>
      <c r="L86" s="30" t="n">
        <f aca="false">IF(I86&lt;=$M$7,J86*$M$6/12,0)</f>
        <v>0</v>
      </c>
      <c r="M86" s="30" t="n">
        <f aca="false">IF(I86&lt;=$M$7,MIN($M$8-L86,J86),0)</f>
        <v>0</v>
      </c>
      <c r="N86" s="30" t="n">
        <f aca="false">J86-M86</f>
        <v>7.61701812734827E-012</v>
      </c>
    </row>
    <row r="87" customFormat="false" ht="15" hidden="false" customHeight="false" outlineLevel="0" collapsed="false">
      <c r="B87" s="32" t="n">
        <v>73</v>
      </c>
      <c r="C87" s="30" t="n">
        <f aca="false">G86</f>
        <v>0</v>
      </c>
      <c r="D87" s="30" t="n">
        <f aca="false">E87+F87</f>
        <v>0</v>
      </c>
      <c r="E87" s="30" t="n">
        <f aca="false">IF(B87&lt;=$F$7,C87*$F$6/12,0)</f>
        <v>0</v>
      </c>
      <c r="F87" s="30" t="n">
        <f aca="false">IF(B87&lt;=$F$7,MIN($F$8-E87,C87),0)</f>
        <v>0</v>
      </c>
      <c r="G87" s="30" t="n">
        <f aca="false">C87-F87</f>
        <v>0</v>
      </c>
      <c r="I87" s="32" t="n">
        <v>73</v>
      </c>
      <c r="J87" s="30" t="n">
        <f aca="false">N86</f>
        <v>7.61701812734827E-012</v>
      </c>
      <c r="K87" s="30" t="n">
        <f aca="false">L87+M87</f>
        <v>0</v>
      </c>
      <c r="L87" s="30" t="n">
        <f aca="false">IF(I87&lt;=$M$7,J87*$M$6/12,0)</f>
        <v>0</v>
      </c>
      <c r="M87" s="30" t="n">
        <f aca="false">IF(I87&lt;=$M$7,MIN($M$8-L87,J87),0)</f>
        <v>0</v>
      </c>
      <c r="N87" s="30" t="n">
        <f aca="false">J87-M87</f>
        <v>7.61701812734827E-012</v>
      </c>
    </row>
    <row r="88" customFormat="false" ht="15" hidden="false" customHeight="false" outlineLevel="0" collapsed="false">
      <c r="B88" s="32" t="n">
        <v>74</v>
      </c>
      <c r="C88" s="30" t="n">
        <f aca="false">G87</f>
        <v>0</v>
      </c>
      <c r="D88" s="30" t="n">
        <f aca="false">E88+F88</f>
        <v>0</v>
      </c>
      <c r="E88" s="30" t="n">
        <f aca="false">IF(B88&lt;=$F$7,C88*$F$6/12,0)</f>
        <v>0</v>
      </c>
      <c r="F88" s="30" t="n">
        <f aca="false">IF(B88&lt;=$F$7,MIN($F$8-E88,C88),0)</f>
        <v>0</v>
      </c>
      <c r="G88" s="30" t="n">
        <f aca="false">C88-F88</f>
        <v>0</v>
      </c>
      <c r="I88" s="32" t="n">
        <v>74</v>
      </c>
      <c r="J88" s="30" t="n">
        <f aca="false">N87</f>
        <v>7.61701812734827E-012</v>
      </c>
      <c r="K88" s="30" t="n">
        <f aca="false">L88+M88</f>
        <v>0</v>
      </c>
      <c r="L88" s="30" t="n">
        <f aca="false">IF(I88&lt;=$M$7,J88*$M$6/12,0)</f>
        <v>0</v>
      </c>
      <c r="M88" s="30" t="n">
        <f aca="false">IF(I88&lt;=$M$7,MIN($M$8-L88,J88),0)</f>
        <v>0</v>
      </c>
      <c r="N88" s="30" t="n">
        <f aca="false">J88-M88</f>
        <v>7.61701812734827E-012</v>
      </c>
    </row>
    <row r="89" customFormat="false" ht="15" hidden="false" customHeight="false" outlineLevel="0" collapsed="false">
      <c r="B89" s="32" t="n">
        <v>75</v>
      </c>
      <c r="C89" s="30" t="n">
        <f aca="false">G88</f>
        <v>0</v>
      </c>
      <c r="D89" s="30" t="n">
        <f aca="false">E89+F89</f>
        <v>0</v>
      </c>
      <c r="E89" s="30" t="n">
        <f aca="false">IF(B89&lt;=$F$7,C89*$F$6/12,0)</f>
        <v>0</v>
      </c>
      <c r="F89" s="30" t="n">
        <f aca="false">IF(B89&lt;=$F$7,MIN($F$8-E89,C89),0)</f>
        <v>0</v>
      </c>
      <c r="G89" s="30" t="n">
        <f aca="false">C89-F89</f>
        <v>0</v>
      </c>
      <c r="I89" s="32" t="n">
        <v>75</v>
      </c>
      <c r="J89" s="30" t="n">
        <f aca="false">N88</f>
        <v>7.61701812734827E-012</v>
      </c>
      <c r="K89" s="30" t="n">
        <f aca="false">L89+M89</f>
        <v>0</v>
      </c>
      <c r="L89" s="30" t="n">
        <f aca="false">IF(I89&lt;=$M$7,J89*$M$6/12,0)</f>
        <v>0</v>
      </c>
      <c r="M89" s="30" t="n">
        <f aca="false">IF(I89&lt;=$M$7,MIN($M$8-L89,J89),0)</f>
        <v>0</v>
      </c>
      <c r="N89" s="30" t="n">
        <f aca="false">J89-M89</f>
        <v>7.61701812734827E-012</v>
      </c>
    </row>
    <row r="90" customFormat="false" ht="15" hidden="false" customHeight="false" outlineLevel="0" collapsed="false">
      <c r="B90" s="32" t="n">
        <v>76</v>
      </c>
      <c r="C90" s="30" t="n">
        <f aca="false">G89</f>
        <v>0</v>
      </c>
      <c r="D90" s="30" t="n">
        <f aca="false">E90+F90</f>
        <v>0</v>
      </c>
      <c r="E90" s="30" t="n">
        <f aca="false">IF(B90&lt;=$F$7,C90*$F$6/12,0)</f>
        <v>0</v>
      </c>
      <c r="F90" s="30" t="n">
        <f aca="false">IF(B90&lt;=$F$7,MIN($F$8-E90,C90),0)</f>
        <v>0</v>
      </c>
      <c r="G90" s="30" t="n">
        <f aca="false">C90-F90</f>
        <v>0</v>
      </c>
      <c r="I90" s="32" t="n">
        <v>76</v>
      </c>
      <c r="J90" s="30" t="n">
        <f aca="false">N89</f>
        <v>7.61701812734827E-012</v>
      </c>
      <c r="K90" s="30" t="n">
        <f aca="false">L90+M90</f>
        <v>0</v>
      </c>
      <c r="L90" s="30" t="n">
        <f aca="false">IF(I90&lt;=$M$7,J90*$M$6/12,0)</f>
        <v>0</v>
      </c>
      <c r="M90" s="30" t="n">
        <f aca="false">IF(I90&lt;=$M$7,MIN($M$8-L90,J90),0)</f>
        <v>0</v>
      </c>
      <c r="N90" s="30" t="n">
        <f aca="false">J90-M90</f>
        <v>7.61701812734827E-012</v>
      </c>
    </row>
    <row r="91" customFormat="false" ht="15" hidden="false" customHeight="false" outlineLevel="0" collapsed="false">
      <c r="B91" s="32" t="n">
        <v>77</v>
      </c>
      <c r="C91" s="30" t="n">
        <f aca="false">G90</f>
        <v>0</v>
      </c>
      <c r="D91" s="30" t="n">
        <f aca="false">E91+F91</f>
        <v>0</v>
      </c>
      <c r="E91" s="30" t="n">
        <f aca="false">IF(B91&lt;=$F$7,C91*$F$6/12,0)</f>
        <v>0</v>
      </c>
      <c r="F91" s="30" t="n">
        <f aca="false">IF(B91&lt;=$F$7,MIN($F$8-E91,C91),0)</f>
        <v>0</v>
      </c>
      <c r="G91" s="30" t="n">
        <f aca="false">C91-F91</f>
        <v>0</v>
      </c>
      <c r="I91" s="32" t="n">
        <v>77</v>
      </c>
      <c r="J91" s="30" t="n">
        <f aca="false">N90</f>
        <v>7.61701812734827E-012</v>
      </c>
      <c r="K91" s="30" t="n">
        <f aca="false">L91+M91</f>
        <v>0</v>
      </c>
      <c r="L91" s="30" t="n">
        <f aca="false">IF(I91&lt;=$M$7,J91*$M$6/12,0)</f>
        <v>0</v>
      </c>
      <c r="M91" s="30" t="n">
        <f aca="false">IF(I91&lt;=$M$7,MIN($M$8-L91,J91),0)</f>
        <v>0</v>
      </c>
      <c r="N91" s="30" t="n">
        <f aca="false">J91-M91</f>
        <v>7.61701812734827E-012</v>
      </c>
    </row>
    <row r="92" customFormat="false" ht="15" hidden="false" customHeight="false" outlineLevel="0" collapsed="false">
      <c r="B92" s="32" t="n">
        <v>78</v>
      </c>
      <c r="C92" s="30" t="n">
        <f aca="false">G91</f>
        <v>0</v>
      </c>
      <c r="D92" s="30" t="n">
        <f aca="false">E92+F92</f>
        <v>0</v>
      </c>
      <c r="E92" s="30" t="n">
        <f aca="false">IF(B92&lt;=$F$7,C92*$F$6/12,0)</f>
        <v>0</v>
      </c>
      <c r="F92" s="30" t="n">
        <f aca="false">IF(B92&lt;=$F$7,MIN($F$8-E92,C92),0)</f>
        <v>0</v>
      </c>
      <c r="G92" s="30" t="n">
        <f aca="false">C92-F92</f>
        <v>0</v>
      </c>
      <c r="I92" s="32" t="n">
        <v>78</v>
      </c>
      <c r="J92" s="30" t="n">
        <f aca="false">N91</f>
        <v>7.61701812734827E-012</v>
      </c>
      <c r="K92" s="30" t="n">
        <f aca="false">L92+M92</f>
        <v>0</v>
      </c>
      <c r="L92" s="30" t="n">
        <f aca="false">IF(I92&lt;=$M$7,J92*$M$6/12,0)</f>
        <v>0</v>
      </c>
      <c r="M92" s="30" t="n">
        <f aca="false">IF(I92&lt;=$M$7,MIN($M$8-L92,J92),0)</f>
        <v>0</v>
      </c>
      <c r="N92" s="30" t="n">
        <f aca="false">J92-M92</f>
        <v>7.61701812734827E-012</v>
      </c>
    </row>
    <row r="93" customFormat="false" ht="15" hidden="false" customHeight="false" outlineLevel="0" collapsed="false">
      <c r="B93" s="32" t="n">
        <v>79</v>
      </c>
      <c r="C93" s="30" t="n">
        <f aca="false">G92</f>
        <v>0</v>
      </c>
      <c r="D93" s="30" t="n">
        <f aca="false">E93+F93</f>
        <v>0</v>
      </c>
      <c r="E93" s="30" t="n">
        <f aca="false">IF(B93&lt;=$F$7,C93*$F$6/12,0)</f>
        <v>0</v>
      </c>
      <c r="F93" s="30" t="n">
        <f aca="false">IF(B93&lt;=$F$7,MIN($F$8-E93,C93),0)</f>
        <v>0</v>
      </c>
      <c r="G93" s="30" t="n">
        <f aca="false">C93-F93</f>
        <v>0</v>
      </c>
      <c r="I93" s="32" t="n">
        <v>79</v>
      </c>
      <c r="J93" s="30" t="n">
        <f aca="false">N92</f>
        <v>7.61701812734827E-012</v>
      </c>
      <c r="K93" s="30" t="n">
        <f aca="false">L93+M93</f>
        <v>0</v>
      </c>
      <c r="L93" s="30" t="n">
        <f aca="false">IF(I93&lt;=$M$7,J93*$M$6/12,0)</f>
        <v>0</v>
      </c>
      <c r="M93" s="30" t="n">
        <f aca="false">IF(I93&lt;=$M$7,MIN($M$8-L93,J93),0)</f>
        <v>0</v>
      </c>
      <c r="N93" s="30" t="n">
        <f aca="false">J93-M93</f>
        <v>7.61701812734827E-012</v>
      </c>
    </row>
    <row r="94" customFormat="false" ht="15" hidden="false" customHeight="false" outlineLevel="0" collapsed="false">
      <c r="B94" s="32" t="n">
        <v>80</v>
      </c>
      <c r="C94" s="30" t="n">
        <f aca="false">G93</f>
        <v>0</v>
      </c>
      <c r="D94" s="30" t="n">
        <f aca="false">E94+F94</f>
        <v>0</v>
      </c>
      <c r="E94" s="30" t="n">
        <f aca="false">IF(B94&lt;=$F$7,C94*$F$6/12,0)</f>
        <v>0</v>
      </c>
      <c r="F94" s="30" t="n">
        <f aca="false">IF(B94&lt;=$F$7,MIN($F$8-E94,C94),0)</f>
        <v>0</v>
      </c>
      <c r="G94" s="30" t="n">
        <f aca="false">C94-F94</f>
        <v>0</v>
      </c>
      <c r="I94" s="32" t="n">
        <v>80</v>
      </c>
      <c r="J94" s="30" t="n">
        <f aca="false">N93</f>
        <v>7.61701812734827E-012</v>
      </c>
      <c r="K94" s="30" t="n">
        <f aca="false">L94+M94</f>
        <v>0</v>
      </c>
      <c r="L94" s="30" t="n">
        <f aca="false">IF(I94&lt;=$M$7,J94*$M$6/12,0)</f>
        <v>0</v>
      </c>
      <c r="M94" s="30" t="n">
        <f aca="false">IF(I94&lt;=$M$7,MIN($M$8-L94,J94),0)</f>
        <v>0</v>
      </c>
      <c r="N94" s="30" t="n">
        <f aca="false">J94-M94</f>
        <v>7.61701812734827E-012</v>
      </c>
    </row>
    <row r="95" customFormat="false" ht="15" hidden="false" customHeight="false" outlineLevel="0" collapsed="false">
      <c r="B95" s="32" t="n">
        <v>81</v>
      </c>
      <c r="C95" s="30" t="n">
        <f aca="false">G94</f>
        <v>0</v>
      </c>
      <c r="D95" s="30" t="n">
        <f aca="false">E95+F95</f>
        <v>0</v>
      </c>
      <c r="E95" s="30" t="n">
        <f aca="false">IF(B95&lt;=$F$7,C95*$F$6/12,0)</f>
        <v>0</v>
      </c>
      <c r="F95" s="30" t="n">
        <f aca="false">IF(B95&lt;=$F$7,MIN($F$8-E95,C95),0)</f>
        <v>0</v>
      </c>
      <c r="G95" s="30" t="n">
        <f aca="false">C95-F95</f>
        <v>0</v>
      </c>
      <c r="I95" s="32" t="n">
        <v>81</v>
      </c>
      <c r="J95" s="30" t="n">
        <f aca="false">N94</f>
        <v>7.61701812734827E-012</v>
      </c>
      <c r="K95" s="30" t="n">
        <f aca="false">L95+M95</f>
        <v>0</v>
      </c>
      <c r="L95" s="30" t="n">
        <f aca="false">IF(I95&lt;=$M$7,J95*$M$6/12,0)</f>
        <v>0</v>
      </c>
      <c r="M95" s="30" t="n">
        <f aca="false">IF(I95&lt;=$M$7,MIN($M$8-L95,J95),0)</f>
        <v>0</v>
      </c>
      <c r="N95" s="30" t="n">
        <f aca="false">J95-M95</f>
        <v>7.61701812734827E-012</v>
      </c>
    </row>
    <row r="96" customFormat="false" ht="15" hidden="false" customHeight="false" outlineLevel="0" collapsed="false">
      <c r="B96" s="32" t="n">
        <v>82</v>
      </c>
      <c r="C96" s="30" t="n">
        <f aca="false">G95</f>
        <v>0</v>
      </c>
      <c r="D96" s="30" t="n">
        <f aca="false">E96+F96</f>
        <v>0</v>
      </c>
      <c r="E96" s="30" t="n">
        <f aca="false">IF(B96&lt;=$F$7,C96*$F$6/12,0)</f>
        <v>0</v>
      </c>
      <c r="F96" s="30" t="n">
        <f aca="false">IF(B96&lt;=$F$7,MIN($F$8-E96,C96),0)</f>
        <v>0</v>
      </c>
      <c r="G96" s="30" t="n">
        <f aca="false">C96-F96</f>
        <v>0</v>
      </c>
      <c r="I96" s="32" t="n">
        <v>82</v>
      </c>
      <c r="J96" s="30" t="n">
        <f aca="false">N95</f>
        <v>7.61701812734827E-012</v>
      </c>
      <c r="K96" s="30" t="n">
        <f aca="false">L96+M96</f>
        <v>0</v>
      </c>
      <c r="L96" s="30" t="n">
        <f aca="false">IF(I96&lt;=$M$7,J96*$M$6/12,0)</f>
        <v>0</v>
      </c>
      <c r="M96" s="30" t="n">
        <f aca="false">IF(I96&lt;=$M$7,MIN($M$8-L96,J96),0)</f>
        <v>0</v>
      </c>
      <c r="N96" s="30" t="n">
        <f aca="false">J96-M96</f>
        <v>7.61701812734827E-012</v>
      </c>
    </row>
    <row r="97" customFormat="false" ht="15" hidden="false" customHeight="false" outlineLevel="0" collapsed="false">
      <c r="B97" s="32" t="n">
        <v>83</v>
      </c>
      <c r="C97" s="30" t="n">
        <f aca="false">G96</f>
        <v>0</v>
      </c>
      <c r="D97" s="30" t="n">
        <f aca="false">E97+F97</f>
        <v>0</v>
      </c>
      <c r="E97" s="30" t="n">
        <f aca="false">IF(B97&lt;=$F$7,C97*$F$6/12,0)</f>
        <v>0</v>
      </c>
      <c r="F97" s="30" t="n">
        <f aca="false">IF(B97&lt;=$F$7,MIN($F$8-E97,C97),0)</f>
        <v>0</v>
      </c>
      <c r="G97" s="30" t="n">
        <f aca="false">C97-F97</f>
        <v>0</v>
      </c>
      <c r="I97" s="32" t="n">
        <v>83</v>
      </c>
      <c r="J97" s="30" t="n">
        <f aca="false">N96</f>
        <v>7.61701812734827E-012</v>
      </c>
      <c r="K97" s="30" t="n">
        <f aca="false">L97+M97</f>
        <v>0</v>
      </c>
      <c r="L97" s="30" t="n">
        <f aca="false">IF(I97&lt;=$M$7,J97*$M$6/12,0)</f>
        <v>0</v>
      </c>
      <c r="M97" s="30" t="n">
        <f aca="false">IF(I97&lt;=$M$7,MIN($M$8-L97,J97),0)</f>
        <v>0</v>
      </c>
      <c r="N97" s="30" t="n">
        <f aca="false">J97-M97</f>
        <v>7.61701812734827E-012</v>
      </c>
    </row>
    <row r="98" customFormat="false" ht="15" hidden="false" customHeight="false" outlineLevel="0" collapsed="false">
      <c r="B98" s="32" t="n">
        <v>84</v>
      </c>
      <c r="C98" s="30" t="n">
        <f aca="false">G97</f>
        <v>0</v>
      </c>
      <c r="D98" s="30" t="n">
        <f aca="false">E98+F98</f>
        <v>0</v>
      </c>
      <c r="E98" s="30" t="n">
        <f aca="false">IF(B98&lt;=$F$7,C98*$F$6/12,0)</f>
        <v>0</v>
      </c>
      <c r="F98" s="30" t="n">
        <f aca="false">IF(B98&lt;=$F$7,MIN($F$8-E98,C98),0)</f>
        <v>0</v>
      </c>
      <c r="G98" s="30" t="n">
        <f aca="false">C98-F98</f>
        <v>0</v>
      </c>
      <c r="I98" s="32" t="n">
        <v>84</v>
      </c>
      <c r="J98" s="30" t="n">
        <f aca="false">N97</f>
        <v>7.61701812734827E-012</v>
      </c>
      <c r="K98" s="30" t="n">
        <f aca="false">L98+M98</f>
        <v>0</v>
      </c>
      <c r="L98" s="30" t="n">
        <f aca="false">IF(I98&lt;=$M$7,J98*$M$6/12,0)</f>
        <v>0</v>
      </c>
      <c r="M98" s="30" t="n">
        <f aca="false">IF(I98&lt;=$M$7,MIN($M$8-L98,J98),0)</f>
        <v>0</v>
      </c>
      <c r="N98" s="30" t="n">
        <f aca="false">J98-M98</f>
        <v>7.61701812734827E-012</v>
      </c>
    </row>
    <row r="99" customFormat="false" ht="15" hidden="false" customHeight="false" outlineLevel="0" collapsed="false">
      <c r="B99" s="32" t="n">
        <v>85</v>
      </c>
      <c r="C99" s="30" t="n">
        <f aca="false">G98</f>
        <v>0</v>
      </c>
      <c r="D99" s="30" t="n">
        <f aca="false">E99+F99</f>
        <v>0</v>
      </c>
      <c r="E99" s="30" t="n">
        <f aca="false">IF(B99&lt;=$F$7,C99*$F$6/12,0)</f>
        <v>0</v>
      </c>
      <c r="F99" s="30" t="n">
        <f aca="false">IF(B99&lt;=$F$7,MIN($F$8-E99,C99),0)</f>
        <v>0</v>
      </c>
      <c r="G99" s="30" t="n">
        <f aca="false">C99-F99</f>
        <v>0</v>
      </c>
      <c r="I99" s="32" t="n">
        <v>85</v>
      </c>
      <c r="J99" s="30" t="n">
        <f aca="false">N98</f>
        <v>7.61701812734827E-012</v>
      </c>
      <c r="K99" s="30" t="n">
        <f aca="false">L99+M99</f>
        <v>0</v>
      </c>
      <c r="L99" s="30" t="n">
        <f aca="false">IF(I99&lt;=$M$7,J99*$M$6/12,0)</f>
        <v>0</v>
      </c>
      <c r="M99" s="30" t="n">
        <f aca="false">IF(I99&lt;=$M$7,MIN($M$8-L99,J99),0)</f>
        <v>0</v>
      </c>
      <c r="N99" s="30" t="n">
        <f aca="false">J99-M99</f>
        <v>7.61701812734827E-012</v>
      </c>
    </row>
    <row r="100" customFormat="false" ht="15" hidden="false" customHeight="false" outlineLevel="0" collapsed="false">
      <c r="B100" s="32" t="n">
        <v>86</v>
      </c>
      <c r="C100" s="30" t="n">
        <f aca="false">G99</f>
        <v>0</v>
      </c>
      <c r="D100" s="30" t="n">
        <f aca="false">E100+F100</f>
        <v>0</v>
      </c>
      <c r="E100" s="30" t="n">
        <f aca="false">IF(B100&lt;=$F$7,C100*$F$6/12,0)</f>
        <v>0</v>
      </c>
      <c r="F100" s="30" t="n">
        <f aca="false">IF(B100&lt;=$F$7,MIN($F$8-E100,C100),0)</f>
        <v>0</v>
      </c>
      <c r="G100" s="30" t="n">
        <f aca="false">C100-F100</f>
        <v>0</v>
      </c>
      <c r="I100" s="32" t="n">
        <v>86</v>
      </c>
      <c r="J100" s="30" t="n">
        <f aca="false">N99</f>
        <v>7.61701812734827E-012</v>
      </c>
      <c r="K100" s="30" t="n">
        <f aca="false">L100+M100</f>
        <v>0</v>
      </c>
      <c r="L100" s="30" t="n">
        <f aca="false">IF(I100&lt;=$M$7,J100*$M$6/12,0)</f>
        <v>0</v>
      </c>
      <c r="M100" s="30" t="n">
        <f aca="false">IF(I100&lt;=$M$7,MIN($M$8-L100,J100),0)</f>
        <v>0</v>
      </c>
      <c r="N100" s="30" t="n">
        <f aca="false">J100-M100</f>
        <v>7.61701812734827E-012</v>
      </c>
    </row>
    <row r="101" customFormat="false" ht="15" hidden="false" customHeight="false" outlineLevel="0" collapsed="false">
      <c r="B101" s="32" t="n">
        <v>87</v>
      </c>
      <c r="C101" s="30" t="n">
        <f aca="false">G100</f>
        <v>0</v>
      </c>
      <c r="D101" s="30" t="n">
        <f aca="false">E101+F101</f>
        <v>0</v>
      </c>
      <c r="E101" s="30" t="n">
        <f aca="false">IF(B101&lt;=$F$7,C101*$F$6/12,0)</f>
        <v>0</v>
      </c>
      <c r="F101" s="30" t="n">
        <f aca="false">IF(B101&lt;=$F$7,MIN($F$8-E101,C101),0)</f>
        <v>0</v>
      </c>
      <c r="G101" s="30" t="n">
        <f aca="false">C101-F101</f>
        <v>0</v>
      </c>
      <c r="I101" s="32" t="n">
        <v>87</v>
      </c>
      <c r="J101" s="30" t="n">
        <f aca="false">N100</f>
        <v>7.61701812734827E-012</v>
      </c>
      <c r="K101" s="30" t="n">
        <f aca="false">L101+M101</f>
        <v>0</v>
      </c>
      <c r="L101" s="30" t="n">
        <f aca="false">IF(I101&lt;=$M$7,J101*$M$6/12,0)</f>
        <v>0</v>
      </c>
      <c r="M101" s="30" t="n">
        <f aca="false">IF(I101&lt;=$M$7,MIN($M$8-L101,J101),0)</f>
        <v>0</v>
      </c>
      <c r="N101" s="30" t="n">
        <f aca="false">J101-M101</f>
        <v>7.61701812734827E-012</v>
      </c>
    </row>
    <row r="102" customFormat="false" ht="15" hidden="false" customHeight="false" outlineLevel="0" collapsed="false">
      <c r="B102" s="32" t="n">
        <v>88</v>
      </c>
      <c r="C102" s="30" t="n">
        <f aca="false">G101</f>
        <v>0</v>
      </c>
      <c r="D102" s="30" t="n">
        <f aca="false">E102+F102</f>
        <v>0</v>
      </c>
      <c r="E102" s="30" t="n">
        <f aca="false">IF(B102&lt;=$F$7,C102*$F$6/12,0)</f>
        <v>0</v>
      </c>
      <c r="F102" s="30" t="n">
        <f aca="false">IF(B102&lt;=$F$7,MIN($F$8-E102,C102),0)</f>
        <v>0</v>
      </c>
      <c r="G102" s="30" t="n">
        <f aca="false">C102-F102</f>
        <v>0</v>
      </c>
      <c r="I102" s="32" t="n">
        <v>88</v>
      </c>
      <c r="J102" s="30" t="n">
        <f aca="false">N101</f>
        <v>7.61701812734827E-012</v>
      </c>
      <c r="K102" s="30" t="n">
        <f aca="false">L102+M102</f>
        <v>0</v>
      </c>
      <c r="L102" s="30" t="n">
        <f aca="false">IF(I102&lt;=$M$7,J102*$M$6/12,0)</f>
        <v>0</v>
      </c>
      <c r="M102" s="30" t="n">
        <f aca="false">IF(I102&lt;=$M$7,MIN($M$8-L102,J102),0)</f>
        <v>0</v>
      </c>
      <c r="N102" s="30" t="n">
        <f aca="false">J102-M102</f>
        <v>7.61701812734827E-012</v>
      </c>
    </row>
    <row r="103" customFormat="false" ht="15" hidden="false" customHeight="false" outlineLevel="0" collapsed="false">
      <c r="B103" s="32" t="n">
        <v>89</v>
      </c>
      <c r="C103" s="30" t="n">
        <f aca="false">G102</f>
        <v>0</v>
      </c>
      <c r="D103" s="30" t="n">
        <f aca="false">E103+F103</f>
        <v>0</v>
      </c>
      <c r="E103" s="30" t="n">
        <f aca="false">IF(B103&lt;=$F$7,C103*$F$6/12,0)</f>
        <v>0</v>
      </c>
      <c r="F103" s="30" t="n">
        <f aca="false">IF(B103&lt;=$F$7,MIN($F$8-E103,C103),0)</f>
        <v>0</v>
      </c>
      <c r="G103" s="30" t="n">
        <f aca="false">C103-F103</f>
        <v>0</v>
      </c>
      <c r="I103" s="32" t="n">
        <v>89</v>
      </c>
      <c r="J103" s="30" t="n">
        <f aca="false">N102</f>
        <v>7.61701812734827E-012</v>
      </c>
      <c r="K103" s="30" t="n">
        <f aca="false">L103+M103</f>
        <v>0</v>
      </c>
      <c r="L103" s="30" t="n">
        <f aca="false">IF(I103&lt;=$M$7,J103*$M$6/12,0)</f>
        <v>0</v>
      </c>
      <c r="M103" s="30" t="n">
        <f aca="false">IF(I103&lt;=$M$7,MIN($M$8-L103,J103),0)</f>
        <v>0</v>
      </c>
      <c r="N103" s="30" t="n">
        <f aca="false">J103-M103</f>
        <v>7.61701812734827E-012</v>
      </c>
    </row>
    <row r="104" customFormat="false" ht="15" hidden="false" customHeight="false" outlineLevel="0" collapsed="false">
      <c r="B104" s="32" t="n">
        <v>90</v>
      </c>
      <c r="C104" s="30" t="n">
        <f aca="false">G103</f>
        <v>0</v>
      </c>
      <c r="D104" s="30" t="n">
        <f aca="false">E104+F104</f>
        <v>0</v>
      </c>
      <c r="E104" s="30" t="n">
        <f aca="false">IF(B104&lt;=$F$7,C104*$F$6/12,0)</f>
        <v>0</v>
      </c>
      <c r="F104" s="30" t="n">
        <f aca="false">IF(B104&lt;=$F$7,MIN($F$8-E104,C104),0)</f>
        <v>0</v>
      </c>
      <c r="G104" s="30" t="n">
        <f aca="false">C104-F104</f>
        <v>0</v>
      </c>
      <c r="I104" s="32" t="n">
        <v>90</v>
      </c>
      <c r="J104" s="30" t="n">
        <f aca="false">N103</f>
        <v>7.61701812734827E-012</v>
      </c>
      <c r="K104" s="30" t="n">
        <f aca="false">L104+M104</f>
        <v>0</v>
      </c>
      <c r="L104" s="30" t="n">
        <f aca="false">IF(I104&lt;=$M$7,J104*$M$6/12,0)</f>
        <v>0</v>
      </c>
      <c r="M104" s="30" t="n">
        <f aca="false">IF(I104&lt;=$M$7,MIN($M$8-L104,J104),0)</f>
        <v>0</v>
      </c>
      <c r="N104" s="30" t="n">
        <f aca="false">J104-M104</f>
        <v>7.61701812734827E-012</v>
      </c>
    </row>
    <row r="105" customFormat="false" ht="15" hidden="false" customHeight="false" outlineLevel="0" collapsed="false">
      <c r="B105" s="32" t="n">
        <v>91</v>
      </c>
      <c r="C105" s="30" t="n">
        <f aca="false">G104</f>
        <v>0</v>
      </c>
      <c r="D105" s="30" t="n">
        <f aca="false">E105+F105</f>
        <v>0</v>
      </c>
      <c r="E105" s="30" t="n">
        <f aca="false">IF(B105&lt;=$F$7,C105*$F$6/12,0)</f>
        <v>0</v>
      </c>
      <c r="F105" s="30" t="n">
        <f aca="false">IF(B105&lt;=$F$7,MIN($F$8-E105,C105),0)</f>
        <v>0</v>
      </c>
      <c r="G105" s="30" t="n">
        <f aca="false">C105-F105</f>
        <v>0</v>
      </c>
      <c r="I105" s="32" t="n">
        <v>91</v>
      </c>
      <c r="J105" s="30" t="n">
        <f aca="false">N104</f>
        <v>7.61701812734827E-012</v>
      </c>
      <c r="K105" s="30" t="n">
        <f aca="false">L105+M105</f>
        <v>0</v>
      </c>
      <c r="L105" s="30" t="n">
        <f aca="false">IF(I105&lt;=$M$7,J105*$M$6/12,0)</f>
        <v>0</v>
      </c>
      <c r="M105" s="30" t="n">
        <f aca="false">IF(I105&lt;=$M$7,MIN($M$8-L105,J105),0)</f>
        <v>0</v>
      </c>
      <c r="N105" s="30" t="n">
        <f aca="false">J105-M105</f>
        <v>7.61701812734827E-012</v>
      </c>
    </row>
    <row r="106" customFormat="false" ht="15" hidden="false" customHeight="false" outlineLevel="0" collapsed="false">
      <c r="B106" s="32" t="n">
        <v>92</v>
      </c>
      <c r="C106" s="30" t="n">
        <f aca="false">G105</f>
        <v>0</v>
      </c>
      <c r="D106" s="30" t="n">
        <f aca="false">E106+F106</f>
        <v>0</v>
      </c>
      <c r="E106" s="30" t="n">
        <f aca="false">IF(B106&lt;=$F$7,C106*$F$6/12,0)</f>
        <v>0</v>
      </c>
      <c r="F106" s="30" t="n">
        <f aca="false">IF(B106&lt;=$F$7,MIN($F$8-E106,C106),0)</f>
        <v>0</v>
      </c>
      <c r="G106" s="30" t="n">
        <f aca="false">C106-F106</f>
        <v>0</v>
      </c>
      <c r="I106" s="32" t="n">
        <v>92</v>
      </c>
      <c r="J106" s="30" t="n">
        <f aca="false">N105</f>
        <v>7.61701812734827E-012</v>
      </c>
      <c r="K106" s="30" t="n">
        <f aca="false">L106+M106</f>
        <v>0</v>
      </c>
      <c r="L106" s="30" t="n">
        <f aca="false">IF(I106&lt;=$M$7,J106*$M$6/12,0)</f>
        <v>0</v>
      </c>
      <c r="M106" s="30" t="n">
        <f aca="false">IF(I106&lt;=$M$7,MIN($M$8-L106,J106),0)</f>
        <v>0</v>
      </c>
      <c r="N106" s="30" t="n">
        <f aca="false">J106-M106</f>
        <v>7.61701812734827E-012</v>
      </c>
    </row>
    <row r="107" customFormat="false" ht="15" hidden="false" customHeight="false" outlineLevel="0" collapsed="false">
      <c r="B107" s="32" t="n">
        <v>93</v>
      </c>
      <c r="C107" s="30" t="n">
        <f aca="false">G106</f>
        <v>0</v>
      </c>
      <c r="D107" s="30" t="n">
        <f aca="false">E107+F107</f>
        <v>0</v>
      </c>
      <c r="E107" s="30" t="n">
        <f aca="false">IF(B107&lt;=$F$7,C107*$F$6/12,0)</f>
        <v>0</v>
      </c>
      <c r="F107" s="30" t="n">
        <f aca="false">IF(B107&lt;=$F$7,MIN($F$8-E107,C107),0)</f>
        <v>0</v>
      </c>
      <c r="G107" s="30" t="n">
        <f aca="false">C107-F107</f>
        <v>0</v>
      </c>
      <c r="I107" s="32" t="n">
        <v>93</v>
      </c>
      <c r="J107" s="30" t="n">
        <f aca="false">N106</f>
        <v>7.61701812734827E-012</v>
      </c>
      <c r="K107" s="30" t="n">
        <f aca="false">L107+M107</f>
        <v>0</v>
      </c>
      <c r="L107" s="30" t="n">
        <f aca="false">IF(I107&lt;=$M$7,J107*$M$6/12,0)</f>
        <v>0</v>
      </c>
      <c r="M107" s="30" t="n">
        <f aca="false">IF(I107&lt;=$M$7,MIN($M$8-L107,J107),0)</f>
        <v>0</v>
      </c>
      <c r="N107" s="30" t="n">
        <f aca="false">J107-M107</f>
        <v>7.61701812734827E-012</v>
      </c>
    </row>
    <row r="108" customFormat="false" ht="15" hidden="false" customHeight="false" outlineLevel="0" collapsed="false">
      <c r="B108" s="32" t="n">
        <v>94</v>
      </c>
      <c r="C108" s="30" t="n">
        <f aca="false">G107</f>
        <v>0</v>
      </c>
      <c r="D108" s="30" t="n">
        <f aca="false">E108+F108</f>
        <v>0</v>
      </c>
      <c r="E108" s="30" t="n">
        <f aca="false">IF(B108&lt;=$F$7,C108*$F$6/12,0)</f>
        <v>0</v>
      </c>
      <c r="F108" s="30" t="n">
        <f aca="false">IF(B108&lt;=$F$7,MIN($F$8-E108,C108),0)</f>
        <v>0</v>
      </c>
      <c r="G108" s="30" t="n">
        <f aca="false">C108-F108</f>
        <v>0</v>
      </c>
      <c r="I108" s="32" t="n">
        <v>94</v>
      </c>
      <c r="J108" s="30" t="n">
        <f aca="false">N107</f>
        <v>7.61701812734827E-012</v>
      </c>
      <c r="K108" s="30" t="n">
        <f aca="false">L108+M108</f>
        <v>0</v>
      </c>
      <c r="L108" s="30" t="n">
        <f aca="false">IF(I108&lt;=$M$7,J108*$M$6/12,0)</f>
        <v>0</v>
      </c>
      <c r="M108" s="30" t="n">
        <f aca="false">IF(I108&lt;=$M$7,MIN($M$8-L108,J108),0)</f>
        <v>0</v>
      </c>
      <c r="N108" s="30" t="n">
        <f aca="false">J108-M108</f>
        <v>7.61701812734827E-012</v>
      </c>
    </row>
    <row r="109" customFormat="false" ht="15" hidden="false" customHeight="false" outlineLevel="0" collapsed="false">
      <c r="B109" s="32" t="n">
        <v>95</v>
      </c>
      <c r="C109" s="30" t="n">
        <f aca="false">G108</f>
        <v>0</v>
      </c>
      <c r="D109" s="30" t="n">
        <f aca="false">E109+F109</f>
        <v>0</v>
      </c>
      <c r="E109" s="30" t="n">
        <f aca="false">IF(B109&lt;=$F$7,C109*$F$6/12,0)</f>
        <v>0</v>
      </c>
      <c r="F109" s="30" t="n">
        <f aca="false">IF(B109&lt;=$F$7,MIN($F$8-E109,C109),0)</f>
        <v>0</v>
      </c>
      <c r="G109" s="30" t="n">
        <f aca="false">C109-F109</f>
        <v>0</v>
      </c>
      <c r="I109" s="32" t="n">
        <v>95</v>
      </c>
      <c r="J109" s="30" t="n">
        <f aca="false">N108</f>
        <v>7.61701812734827E-012</v>
      </c>
      <c r="K109" s="30" t="n">
        <f aca="false">L109+M109</f>
        <v>0</v>
      </c>
      <c r="L109" s="30" t="n">
        <f aca="false">IF(I109&lt;=$M$7,J109*$M$6/12,0)</f>
        <v>0</v>
      </c>
      <c r="M109" s="30" t="n">
        <f aca="false">IF(I109&lt;=$M$7,MIN($M$8-L109,J109),0)</f>
        <v>0</v>
      </c>
      <c r="N109" s="30" t="n">
        <f aca="false">J109-M109</f>
        <v>7.61701812734827E-012</v>
      </c>
    </row>
    <row r="110" customFormat="false" ht="15" hidden="false" customHeight="false" outlineLevel="0" collapsed="false">
      <c r="B110" s="32" t="n">
        <v>96</v>
      </c>
      <c r="C110" s="30" t="n">
        <f aca="false">G109</f>
        <v>0</v>
      </c>
      <c r="D110" s="30" t="n">
        <f aca="false">E110+F110</f>
        <v>0</v>
      </c>
      <c r="E110" s="30" t="n">
        <f aca="false">IF(B110&lt;=$F$7,C110*$F$6/12,0)</f>
        <v>0</v>
      </c>
      <c r="F110" s="30" t="n">
        <f aca="false">IF(B110&lt;=$F$7,MIN($F$8-E110,C110),0)</f>
        <v>0</v>
      </c>
      <c r="G110" s="30" t="n">
        <f aca="false">C110-F110</f>
        <v>0</v>
      </c>
      <c r="I110" s="32" t="n">
        <v>96</v>
      </c>
      <c r="J110" s="30" t="n">
        <f aca="false">N109</f>
        <v>7.61701812734827E-012</v>
      </c>
      <c r="K110" s="30" t="n">
        <f aca="false">L110+M110</f>
        <v>0</v>
      </c>
      <c r="L110" s="30" t="n">
        <f aca="false">IF(I110&lt;=$M$7,J110*$M$6/12,0)</f>
        <v>0</v>
      </c>
      <c r="M110" s="30" t="n">
        <f aca="false">IF(I110&lt;=$M$7,MIN($M$8-L110,J110),0)</f>
        <v>0</v>
      </c>
      <c r="N110" s="30" t="n">
        <f aca="false">J110-M110</f>
        <v>7.61701812734827E-012</v>
      </c>
    </row>
    <row r="111" customFormat="false" ht="15" hidden="false" customHeight="false" outlineLevel="0" collapsed="false">
      <c r="B111" s="32" t="n">
        <v>97</v>
      </c>
      <c r="C111" s="30" t="n">
        <f aca="false">G110</f>
        <v>0</v>
      </c>
      <c r="D111" s="30" t="n">
        <f aca="false">E111+F111</f>
        <v>0</v>
      </c>
      <c r="E111" s="30" t="n">
        <f aca="false">IF(B111&lt;=$F$7,C111*$F$6/12,0)</f>
        <v>0</v>
      </c>
      <c r="F111" s="30" t="n">
        <f aca="false">IF(B111&lt;=$F$7,MIN($F$8-E111,C111),0)</f>
        <v>0</v>
      </c>
      <c r="G111" s="30" t="n">
        <f aca="false">C111-F111</f>
        <v>0</v>
      </c>
      <c r="I111" s="32" t="n">
        <v>97</v>
      </c>
      <c r="J111" s="30" t="n">
        <f aca="false">N110</f>
        <v>7.61701812734827E-012</v>
      </c>
      <c r="K111" s="30" t="n">
        <f aca="false">L111+M111</f>
        <v>0</v>
      </c>
      <c r="L111" s="30" t="n">
        <f aca="false">IF(I111&lt;=$M$7,J111*$M$6/12,0)</f>
        <v>0</v>
      </c>
      <c r="M111" s="30" t="n">
        <f aca="false">IF(I111&lt;=$M$7,MIN($M$8-L111,J111),0)</f>
        <v>0</v>
      </c>
      <c r="N111" s="30" t="n">
        <f aca="false">J111-M111</f>
        <v>7.61701812734827E-012</v>
      </c>
    </row>
    <row r="112" customFormat="false" ht="15" hidden="false" customHeight="false" outlineLevel="0" collapsed="false">
      <c r="B112" s="32" t="n">
        <v>98</v>
      </c>
      <c r="C112" s="30" t="n">
        <f aca="false">G111</f>
        <v>0</v>
      </c>
      <c r="D112" s="30" t="n">
        <f aca="false">E112+F112</f>
        <v>0</v>
      </c>
      <c r="E112" s="30" t="n">
        <f aca="false">IF(B112&lt;=$F$7,C112*$F$6/12,0)</f>
        <v>0</v>
      </c>
      <c r="F112" s="30" t="n">
        <f aca="false">IF(B112&lt;=$F$7,MIN($F$8-E112,C112),0)</f>
        <v>0</v>
      </c>
      <c r="G112" s="30" t="n">
        <f aca="false">C112-F112</f>
        <v>0</v>
      </c>
      <c r="I112" s="32" t="n">
        <v>98</v>
      </c>
      <c r="J112" s="30" t="n">
        <f aca="false">N111</f>
        <v>7.61701812734827E-012</v>
      </c>
      <c r="K112" s="30" t="n">
        <f aca="false">L112+M112</f>
        <v>0</v>
      </c>
      <c r="L112" s="30" t="n">
        <f aca="false">IF(I112&lt;=$M$7,J112*$M$6/12,0)</f>
        <v>0</v>
      </c>
      <c r="M112" s="30" t="n">
        <f aca="false">IF(I112&lt;=$M$7,MIN($M$8-L112,J112),0)</f>
        <v>0</v>
      </c>
      <c r="N112" s="30" t="n">
        <f aca="false">J112-M112</f>
        <v>7.61701812734827E-012</v>
      </c>
    </row>
    <row r="113" customFormat="false" ht="15" hidden="false" customHeight="false" outlineLevel="0" collapsed="false">
      <c r="B113" s="32" t="n">
        <v>99</v>
      </c>
      <c r="C113" s="30" t="n">
        <f aca="false">G112</f>
        <v>0</v>
      </c>
      <c r="D113" s="30" t="n">
        <f aca="false">E113+F113</f>
        <v>0</v>
      </c>
      <c r="E113" s="30" t="n">
        <f aca="false">IF(B113&lt;=$F$7,C113*$F$6/12,0)</f>
        <v>0</v>
      </c>
      <c r="F113" s="30" t="n">
        <f aca="false">IF(B113&lt;=$F$7,MIN($F$8-E113,C113),0)</f>
        <v>0</v>
      </c>
      <c r="G113" s="30" t="n">
        <f aca="false">C113-F113</f>
        <v>0</v>
      </c>
      <c r="I113" s="32" t="n">
        <v>99</v>
      </c>
      <c r="J113" s="30" t="n">
        <f aca="false">N112</f>
        <v>7.61701812734827E-012</v>
      </c>
      <c r="K113" s="30" t="n">
        <f aca="false">L113+M113</f>
        <v>0</v>
      </c>
      <c r="L113" s="30" t="n">
        <f aca="false">IF(I113&lt;=$M$7,J113*$M$6/12,0)</f>
        <v>0</v>
      </c>
      <c r="M113" s="30" t="n">
        <f aca="false">IF(I113&lt;=$M$7,MIN($M$8-L113,J113),0)</f>
        <v>0</v>
      </c>
      <c r="N113" s="30" t="n">
        <f aca="false">J113-M113</f>
        <v>7.61701812734827E-012</v>
      </c>
    </row>
    <row r="114" customFormat="false" ht="15" hidden="false" customHeight="false" outlineLevel="0" collapsed="false">
      <c r="B114" s="32" t="n">
        <v>100</v>
      </c>
      <c r="C114" s="30" t="n">
        <f aca="false">G113</f>
        <v>0</v>
      </c>
      <c r="D114" s="30" t="n">
        <f aca="false">E114+F114</f>
        <v>0</v>
      </c>
      <c r="E114" s="30" t="n">
        <f aca="false">IF(B114&lt;=$F$7,C114*$F$6/12,0)</f>
        <v>0</v>
      </c>
      <c r="F114" s="30" t="n">
        <f aca="false">IF(B114&lt;=$F$7,MIN($F$8-E114,C114),0)</f>
        <v>0</v>
      </c>
      <c r="G114" s="30" t="n">
        <f aca="false">C114-F114</f>
        <v>0</v>
      </c>
      <c r="I114" s="32" t="n">
        <v>100</v>
      </c>
      <c r="J114" s="30" t="n">
        <f aca="false">N113</f>
        <v>7.61701812734827E-012</v>
      </c>
      <c r="K114" s="30" t="n">
        <f aca="false">L114+M114</f>
        <v>0</v>
      </c>
      <c r="L114" s="30" t="n">
        <f aca="false">IF(I114&lt;=$M$7,J114*$M$6/12,0)</f>
        <v>0</v>
      </c>
      <c r="M114" s="30" t="n">
        <f aca="false">IF(I114&lt;=$M$7,MIN($M$8-L114,J114),0)</f>
        <v>0</v>
      </c>
      <c r="N114" s="30" t="n">
        <f aca="false">J114-M114</f>
        <v>7.61701812734827E-012</v>
      </c>
    </row>
    <row r="115" customFormat="false" ht="15" hidden="false" customHeight="false" outlineLevel="0" collapsed="false">
      <c r="B115" s="32" t="n">
        <v>101</v>
      </c>
      <c r="C115" s="30" t="n">
        <f aca="false">G114</f>
        <v>0</v>
      </c>
      <c r="D115" s="30" t="n">
        <f aca="false">E115+F115</f>
        <v>0</v>
      </c>
      <c r="E115" s="30" t="n">
        <f aca="false">IF(B115&lt;=$F$7,C115*$F$6/12,0)</f>
        <v>0</v>
      </c>
      <c r="F115" s="30" t="n">
        <f aca="false">IF(B115&lt;=$F$7,MIN($F$8-E115,C115),0)</f>
        <v>0</v>
      </c>
      <c r="G115" s="30" t="n">
        <f aca="false">C115-F115</f>
        <v>0</v>
      </c>
      <c r="I115" s="32" t="n">
        <v>101</v>
      </c>
      <c r="J115" s="30" t="n">
        <f aca="false">N114</f>
        <v>7.61701812734827E-012</v>
      </c>
      <c r="K115" s="30" t="n">
        <f aca="false">L115+M115</f>
        <v>0</v>
      </c>
      <c r="L115" s="30" t="n">
        <f aca="false">IF(I115&lt;=$M$7,J115*$M$6/12,0)</f>
        <v>0</v>
      </c>
      <c r="M115" s="30" t="n">
        <f aca="false">IF(I115&lt;=$M$7,MIN($M$8-L115,J115),0)</f>
        <v>0</v>
      </c>
      <c r="N115" s="30" t="n">
        <f aca="false">J115-M115</f>
        <v>7.61701812734827E-012</v>
      </c>
    </row>
    <row r="116" customFormat="false" ht="15" hidden="false" customHeight="false" outlineLevel="0" collapsed="false">
      <c r="B116" s="32" t="n">
        <v>102</v>
      </c>
      <c r="C116" s="30" t="n">
        <f aca="false">G115</f>
        <v>0</v>
      </c>
      <c r="D116" s="30" t="n">
        <f aca="false">E116+F116</f>
        <v>0</v>
      </c>
      <c r="E116" s="30" t="n">
        <f aca="false">IF(B116&lt;=$F$7,C116*$F$6/12,0)</f>
        <v>0</v>
      </c>
      <c r="F116" s="30" t="n">
        <f aca="false">IF(B116&lt;=$F$7,MIN($F$8-E116,C116),0)</f>
        <v>0</v>
      </c>
      <c r="G116" s="30" t="n">
        <f aca="false">C116-F116</f>
        <v>0</v>
      </c>
      <c r="I116" s="32" t="n">
        <v>102</v>
      </c>
      <c r="J116" s="30" t="n">
        <f aca="false">N115</f>
        <v>7.61701812734827E-012</v>
      </c>
      <c r="K116" s="30" t="n">
        <f aca="false">L116+M116</f>
        <v>0</v>
      </c>
      <c r="L116" s="30" t="n">
        <f aca="false">IF(I116&lt;=$M$7,J116*$M$6/12,0)</f>
        <v>0</v>
      </c>
      <c r="M116" s="30" t="n">
        <f aca="false">IF(I116&lt;=$M$7,MIN($M$8-L116,J116),0)</f>
        <v>0</v>
      </c>
      <c r="N116" s="30" t="n">
        <f aca="false">J116-M116</f>
        <v>7.61701812734827E-012</v>
      </c>
    </row>
    <row r="117" customFormat="false" ht="15" hidden="false" customHeight="false" outlineLevel="0" collapsed="false">
      <c r="B117" s="32" t="n">
        <v>103</v>
      </c>
      <c r="C117" s="30" t="n">
        <f aca="false">G116</f>
        <v>0</v>
      </c>
      <c r="D117" s="30" t="n">
        <f aca="false">E117+F117</f>
        <v>0</v>
      </c>
      <c r="E117" s="30" t="n">
        <f aca="false">IF(B117&lt;=$F$7,C117*$F$6/12,0)</f>
        <v>0</v>
      </c>
      <c r="F117" s="30" t="n">
        <f aca="false">IF(B117&lt;=$F$7,MIN($F$8-E117,C117),0)</f>
        <v>0</v>
      </c>
      <c r="G117" s="30" t="n">
        <f aca="false">C117-F117</f>
        <v>0</v>
      </c>
      <c r="I117" s="32" t="n">
        <v>103</v>
      </c>
      <c r="J117" s="30" t="n">
        <f aca="false">N116</f>
        <v>7.61701812734827E-012</v>
      </c>
      <c r="K117" s="30" t="n">
        <f aca="false">L117+M117</f>
        <v>0</v>
      </c>
      <c r="L117" s="30" t="n">
        <f aca="false">IF(I117&lt;=$M$7,J117*$M$6/12,0)</f>
        <v>0</v>
      </c>
      <c r="M117" s="30" t="n">
        <f aca="false">IF(I117&lt;=$M$7,MIN($M$8-L117,J117),0)</f>
        <v>0</v>
      </c>
      <c r="N117" s="30" t="n">
        <f aca="false">J117-M117</f>
        <v>7.61701812734827E-012</v>
      </c>
    </row>
    <row r="118" customFormat="false" ht="15" hidden="false" customHeight="false" outlineLevel="0" collapsed="false">
      <c r="B118" s="32" t="n">
        <v>104</v>
      </c>
      <c r="C118" s="30" t="n">
        <f aca="false">G117</f>
        <v>0</v>
      </c>
      <c r="D118" s="30" t="n">
        <f aca="false">E118+F118</f>
        <v>0</v>
      </c>
      <c r="E118" s="30" t="n">
        <f aca="false">IF(B118&lt;=$F$7,C118*$F$6/12,0)</f>
        <v>0</v>
      </c>
      <c r="F118" s="30" t="n">
        <f aca="false">IF(B118&lt;=$F$7,MIN($F$8-E118,C118),0)</f>
        <v>0</v>
      </c>
      <c r="G118" s="30" t="n">
        <f aca="false">C118-F118</f>
        <v>0</v>
      </c>
      <c r="I118" s="32" t="n">
        <v>104</v>
      </c>
      <c r="J118" s="30" t="n">
        <f aca="false">N117</f>
        <v>7.61701812734827E-012</v>
      </c>
      <c r="K118" s="30" t="n">
        <f aca="false">L118+M118</f>
        <v>0</v>
      </c>
      <c r="L118" s="30" t="n">
        <f aca="false">IF(I118&lt;=$M$7,J118*$M$6/12,0)</f>
        <v>0</v>
      </c>
      <c r="M118" s="30" t="n">
        <f aca="false">IF(I118&lt;=$M$7,MIN($M$8-L118,J118),0)</f>
        <v>0</v>
      </c>
      <c r="N118" s="30" t="n">
        <f aca="false">J118-M118</f>
        <v>7.61701812734827E-012</v>
      </c>
    </row>
    <row r="119" customFormat="false" ht="15" hidden="false" customHeight="false" outlineLevel="0" collapsed="false">
      <c r="B119" s="32" t="n">
        <v>105</v>
      </c>
      <c r="C119" s="30" t="n">
        <f aca="false">G118</f>
        <v>0</v>
      </c>
      <c r="D119" s="30" t="n">
        <f aca="false">E119+F119</f>
        <v>0</v>
      </c>
      <c r="E119" s="30" t="n">
        <f aca="false">IF(B119&lt;=$F$7,C119*$F$6/12,0)</f>
        <v>0</v>
      </c>
      <c r="F119" s="30" t="n">
        <f aca="false">IF(B119&lt;=$F$7,MIN($F$8-E119,C119),0)</f>
        <v>0</v>
      </c>
      <c r="G119" s="30" t="n">
        <f aca="false">C119-F119</f>
        <v>0</v>
      </c>
      <c r="I119" s="32" t="n">
        <v>105</v>
      </c>
      <c r="J119" s="30" t="n">
        <f aca="false">N118</f>
        <v>7.61701812734827E-012</v>
      </c>
      <c r="K119" s="30" t="n">
        <f aca="false">L119+M119</f>
        <v>0</v>
      </c>
      <c r="L119" s="30" t="n">
        <f aca="false">IF(I119&lt;=$M$7,J119*$M$6/12,0)</f>
        <v>0</v>
      </c>
      <c r="M119" s="30" t="n">
        <f aca="false">IF(I119&lt;=$M$7,MIN($M$8-L119,J119),0)</f>
        <v>0</v>
      </c>
      <c r="N119" s="30" t="n">
        <f aca="false">J119-M119</f>
        <v>7.61701812734827E-012</v>
      </c>
    </row>
    <row r="120" customFormat="false" ht="15" hidden="false" customHeight="false" outlineLevel="0" collapsed="false">
      <c r="B120" s="32" t="n">
        <v>106</v>
      </c>
      <c r="C120" s="30" t="n">
        <f aca="false">G119</f>
        <v>0</v>
      </c>
      <c r="D120" s="30" t="n">
        <f aca="false">E120+F120</f>
        <v>0</v>
      </c>
      <c r="E120" s="30" t="n">
        <f aca="false">IF(B120&lt;=$F$7,C120*$F$6/12,0)</f>
        <v>0</v>
      </c>
      <c r="F120" s="30" t="n">
        <f aca="false">IF(B120&lt;=$F$7,MIN($F$8-E120,C120),0)</f>
        <v>0</v>
      </c>
      <c r="G120" s="30" t="n">
        <f aca="false">C120-F120</f>
        <v>0</v>
      </c>
      <c r="I120" s="32" t="n">
        <v>106</v>
      </c>
      <c r="J120" s="30" t="n">
        <f aca="false">N119</f>
        <v>7.61701812734827E-012</v>
      </c>
      <c r="K120" s="30" t="n">
        <f aca="false">L120+M120</f>
        <v>0</v>
      </c>
      <c r="L120" s="30" t="n">
        <f aca="false">IF(I120&lt;=$M$7,J120*$M$6/12,0)</f>
        <v>0</v>
      </c>
      <c r="M120" s="30" t="n">
        <f aca="false">IF(I120&lt;=$M$7,MIN($M$8-L120,J120),0)</f>
        <v>0</v>
      </c>
      <c r="N120" s="30" t="n">
        <f aca="false">J120-M120</f>
        <v>7.61701812734827E-012</v>
      </c>
    </row>
    <row r="121" customFormat="false" ht="15" hidden="false" customHeight="false" outlineLevel="0" collapsed="false">
      <c r="B121" s="32" t="n">
        <v>107</v>
      </c>
      <c r="C121" s="30" t="n">
        <f aca="false">G120</f>
        <v>0</v>
      </c>
      <c r="D121" s="30" t="n">
        <f aca="false">E121+F121</f>
        <v>0</v>
      </c>
      <c r="E121" s="30" t="n">
        <f aca="false">IF(B121&lt;=$F$7,C121*$F$6/12,0)</f>
        <v>0</v>
      </c>
      <c r="F121" s="30" t="n">
        <f aca="false">IF(B121&lt;=$F$7,MIN($F$8-E121,C121),0)</f>
        <v>0</v>
      </c>
      <c r="G121" s="30" t="n">
        <f aca="false">C121-F121</f>
        <v>0</v>
      </c>
      <c r="I121" s="32" t="n">
        <v>107</v>
      </c>
      <c r="J121" s="30" t="n">
        <f aca="false">N120</f>
        <v>7.61701812734827E-012</v>
      </c>
      <c r="K121" s="30" t="n">
        <f aca="false">L121+M121</f>
        <v>0</v>
      </c>
      <c r="L121" s="30" t="n">
        <f aca="false">IF(I121&lt;=$M$7,J121*$M$6/12,0)</f>
        <v>0</v>
      </c>
      <c r="M121" s="30" t="n">
        <f aca="false">IF(I121&lt;=$M$7,MIN($M$8-L121,J121),0)</f>
        <v>0</v>
      </c>
      <c r="N121" s="30" t="n">
        <f aca="false">J121-M121</f>
        <v>7.61701812734827E-012</v>
      </c>
    </row>
    <row r="122" customFormat="false" ht="15" hidden="false" customHeight="false" outlineLevel="0" collapsed="false">
      <c r="B122" s="32" t="n">
        <v>108</v>
      </c>
      <c r="C122" s="30" t="n">
        <f aca="false">G121</f>
        <v>0</v>
      </c>
      <c r="D122" s="30" t="n">
        <f aca="false">E122+F122</f>
        <v>0</v>
      </c>
      <c r="E122" s="30" t="n">
        <f aca="false">IF(B122&lt;=$F$7,C122*$F$6/12,0)</f>
        <v>0</v>
      </c>
      <c r="F122" s="30" t="n">
        <f aca="false">IF(B122&lt;=$F$7,MIN($F$8-E122,C122),0)</f>
        <v>0</v>
      </c>
      <c r="G122" s="30" t="n">
        <f aca="false">C122-F122</f>
        <v>0</v>
      </c>
      <c r="I122" s="32" t="n">
        <v>108</v>
      </c>
      <c r="J122" s="30" t="n">
        <f aca="false">N121</f>
        <v>7.61701812734827E-012</v>
      </c>
      <c r="K122" s="30" t="n">
        <f aca="false">L122+M122</f>
        <v>0</v>
      </c>
      <c r="L122" s="30" t="n">
        <f aca="false">IF(I122&lt;=$M$7,J122*$M$6/12,0)</f>
        <v>0</v>
      </c>
      <c r="M122" s="30" t="n">
        <f aca="false">IF(I122&lt;=$M$7,MIN($M$8-L122,J122),0)</f>
        <v>0</v>
      </c>
      <c r="N122" s="30" t="n">
        <f aca="false">J122-M122</f>
        <v>7.61701812734827E-012</v>
      </c>
    </row>
    <row r="123" customFormat="false" ht="15" hidden="false" customHeight="false" outlineLevel="0" collapsed="false">
      <c r="B123" s="32" t="n">
        <v>109</v>
      </c>
      <c r="C123" s="30" t="n">
        <f aca="false">G122</f>
        <v>0</v>
      </c>
      <c r="D123" s="30" t="n">
        <f aca="false">E123+F123</f>
        <v>0</v>
      </c>
      <c r="E123" s="30" t="n">
        <f aca="false">IF(B123&lt;=$F$7,C123*$F$6/12,0)</f>
        <v>0</v>
      </c>
      <c r="F123" s="30" t="n">
        <f aca="false">IF(B123&lt;=$F$7,MIN($F$8-E123,C123),0)</f>
        <v>0</v>
      </c>
      <c r="G123" s="30" t="n">
        <f aca="false">C123-F123</f>
        <v>0</v>
      </c>
      <c r="I123" s="32" t="n">
        <v>109</v>
      </c>
      <c r="J123" s="30" t="n">
        <f aca="false">N122</f>
        <v>7.61701812734827E-012</v>
      </c>
      <c r="K123" s="30" t="n">
        <f aca="false">L123+M123</f>
        <v>0</v>
      </c>
      <c r="L123" s="30" t="n">
        <f aca="false">IF(I123&lt;=$M$7,J123*$M$6/12,0)</f>
        <v>0</v>
      </c>
      <c r="M123" s="30" t="n">
        <f aca="false">IF(I123&lt;=$M$7,MIN($M$8-L123,J123),0)</f>
        <v>0</v>
      </c>
      <c r="N123" s="30" t="n">
        <f aca="false">J123-M123</f>
        <v>7.61701812734827E-012</v>
      </c>
    </row>
    <row r="124" customFormat="false" ht="15" hidden="false" customHeight="false" outlineLevel="0" collapsed="false">
      <c r="B124" s="32" t="n">
        <v>110</v>
      </c>
      <c r="C124" s="30" t="n">
        <f aca="false">G123</f>
        <v>0</v>
      </c>
      <c r="D124" s="30" t="n">
        <f aca="false">E124+F124</f>
        <v>0</v>
      </c>
      <c r="E124" s="30" t="n">
        <f aca="false">IF(B124&lt;=$F$7,C124*$F$6/12,0)</f>
        <v>0</v>
      </c>
      <c r="F124" s="30" t="n">
        <f aca="false">IF(B124&lt;=$F$7,MIN($F$8-E124,C124),0)</f>
        <v>0</v>
      </c>
      <c r="G124" s="30" t="n">
        <f aca="false">C124-F124</f>
        <v>0</v>
      </c>
      <c r="I124" s="32" t="n">
        <v>110</v>
      </c>
      <c r="J124" s="30" t="n">
        <f aca="false">N123</f>
        <v>7.61701812734827E-012</v>
      </c>
      <c r="K124" s="30" t="n">
        <f aca="false">L124+M124</f>
        <v>0</v>
      </c>
      <c r="L124" s="30" t="n">
        <f aca="false">IF(I124&lt;=$M$7,J124*$M$6/12,0)</f>
        <v>0</v>
      </c>
      <c r="M124" s="30" t="n">
        <f aca="false">IF(I124&lt;=$M$7,MIN($M$8-L124,J124),0)</f>
        <v>0</v>
      </c>
      <c r="N124" s="30" t="n">
        <f aca="false">J124-M124</f>
        <v>7.61701812734827E-012</v>
      </c>
    </row>
    <row r="125" customFormat="false" ht="15" hidden="false" customHeight="false" outlineLevel="0" collapsed="false">
      <c r="B125" s="32" t="n">
        <v>111</v>
      </c>
      <c r="C125" s="30" t="n">
        <f aca="false">G124</f>
        <v>0</v>
      </c>
      <c r="D125" s="30" t="n">
        <f aca="false">E125+F125</f>
        <v>0</v>
      </c>
      <c r="E125" s="30" t="n">
        <f aca="false">IF(B125&lt;=$F$7,C125*$F$6/12,0)</f>
        <v>0</v>
      </c>
      <c r="F125" s="30" t="n">
        <f aca="false">IF(B125&lt;=$F$7,MIN($F$8-E125,C125),0)</f>
        <v>0</v>
      </c>
      <c r="G125" s="30" t="n">
        <f aca="false">C125-F125</f>
        <v>0</v>
      </c>
      <c r="I125" s="32" t="n">
        <v>111</v>
      </c>
      <c r="J125" s="30" t="n">
        <f aca="false">N124</f>
        <v>7.61701812734827E-012</v>
      </c>
      <c r="K125" s="30" t="n">
        <f aca="false">L125+M125</f>
        <v>0</v>
      </c>
      <c r="L125" s="30" t="n">
        <f aca="false">IF(I125&lt;=$M$7,J125*$M$6/12,0)</f>
        <v>0</v>
      </c>
      <c r="M125" s="30" t="n">
        <f aca="false">IF(I125&lt;=$M$7,MIN($M$8-L125,J125),0)</f>
        <v>0</v>
      </c>
      <c r="N125" s="30" t="n">
        <f aca="false">J125-M125</f>
        <v>7.61701812734827E-012</v>
      </c>
    </row>
    <row r="126" customFormat="false" ht="15" hidden="false" customHeight="false" outlineLevel="0" collapsed="false">
      <c r="B126" s="32" t="n">
        <v>112</v>
      </c>
      <c r="C126" s="30" t="n">
        <f aca="false">G125</f>
        <v>0</v>
      </c>
      <c r="D126" s="30" t="n">
        <f aca="false">E126+F126</f>
        <v>0</v>
      </c>
      <c r="E126" s="30" t="n">
        <f aca="false">IF(B126&lt;=$F$7,C126*$F$6/12,0)</f>
        <v>0</v>
      </c>
      <c r="F126" s="30" t="n">
        <f aca="false">IF(B126&lt;=$F$7,MIN($F$8-E126,C126),0)</f>
        <v>0</v>
      </c>
      <c r="G126" s="30" t="n">
        <f aca="false">C126-F126</f>
        <v>0</v>
      </c>
      <c r="I126" s="32" t="n">
        <v>112</v>
      </c>
      <c r="J126" s="30" t="n">
        <f aca="false">N125</f>
        <v>7.61701812734827E-012</v>
      </c>
      <c r="K126" s="30" t="n">
        <f aca="false">L126+M126</f>
        <v>0</v>
      </c>
      <c r="L126" s="30" t="n">
        <f aca="false">IF(I126&lt;=$M$7,J126*$M$6/12,0)</f>
        <v>0</v>
      </c>
      <c r="M126" s="30" t="n">
        <f aca="false">IF(I126&lt;=$M$7,MIN($M$8-L126,J126),0)</f>
        <v>0</v>
      </c>
      <c r="N126" s="30" t="n">
        <f aca="false">J126-M126</f>
        <v>7.61701812734827E-012</v>
      </c>
    </row>
    <row r="127" customFormat="false" ht="15" hidden="false" customHeight="false" outlineLevel="0" collapsed="false">
      <c r="B127" s="32" t="n">
        <v>113</v>
      </c>
      <c r="C127" s="30" t="n">
        <f aca="false">G126</f>
        <v>0</v>
      </c>
      <c r="D127" s="30" t="n">
        <f aca="false">E127+F127</f>
        <v>0</v>
      </c>
      <c r="E127" s="30" t="n">
        <f aca="false">IF(B127&lt;=$F$7,C127*$F$6/12,0)</f>
        <v>0</v>
      </c>
      <c r="F127" s="30" t="n">
        <f aca="false">IF(B127&lt;=$F$7,MIN($F$8-E127,C127),0)</f>
        <v>0</v>
      </c>
      <c r="G127" s="30" t="n">
        <f aca="false">C127-F127</f>
        <v>0</v>
      </c>
      <c r="I127" s="32" t="n">
        <v>113</v>
      </c>
      <c r="J127" s="30" t="n">
        <f aca="false">N126</f>
        <v>7.61701812734827E-012</v>
      </c>
      <c r="K127" s="30" t="n">
        <f aca="false">L127+M127</f>
        <v>0</v>
      </c>
      <c r="L127" s="30" t="n">
        <f aca="false">IF(I127&lt;=$M$7,J127*$M$6/12,0)</f>
        <v>0</v>
      </c>
      <c r="M127" s="30" t="n">
        <f aca="false">IF(I127&lt;=$M$7,MIN($M$8-L127,J127),0)</f>
        <v>0</v>
      </c>
      <c r="N127" s="30" t="n">
        <f aca="false">J127-M127</f>
        <v>7.61701812734827E-012</v>
      </c>
    </row>
    <row r="128" customFormat="false" ht="15" hidden="false" customHeight="false" outlineLevel="0" collapsed="false">
      <c r="B128" s="32" t="n">
        <v>114</v>
      </c>
      <c r="C128" s="30" t="n">
        <f aca="false">G127</f>
        <v>0</v>
      </c>
      <c r="D128" s="30" t="n">
        <f aca="false">E128+F128</f>
        <v>0</v>
      </c>
      <c r="E128" s="30" t="n">
        <f aca="false">IF(B128&lt;=$F$7,C128*$F$6/12,0)</f>
        <v>0</v>
      </c>
      <c r="F128" s="30" t="n">
        <f aca="false">IF(B128&lt;=$F$7,MIN($F$8-E128,C128),0)</f>
        <v>0</v>
      </c>
      <c r="G128" s="30" t="n">
        <f aca="false">C128-F128</f>
        <v>0</v>
      </c>
      <c r="I128" s="32" t="n">
        <v>114</v>
      </c>
      <c r="J128" s="30" t="n">
        <f aca="false">N127</f>
        <v>7.61701812734827E-012</v>
      </c>
      <c r="K128" s="30" t="n">
        <f aca="false">L128+M128</f>
        <v>0</v>
      </c>
      <c r="L128" s="30" t="n">
        <f aca="false">IF(I128&lt;=$M$7,J128*$M$6/12,0)</f>
        <v>0</v>
      </c>
      <c r="M128" s="30" t="n">
        <f aca="false">IF(I128&lt;=$M$7,MIN($M$8-L128,J128),0)</f>
        <v>0</v>
      </c>
      <c r="N128" s="30" t="n">
        <f aca="false">J128-M128</f>
        <v>7.61701812734827E-012</v>
      </c>
    </row>
    <row r="129" customFormat="false" ht="15" hidden="false" customHeight="false" outlineLevel="0" collapsed="false">
      <c r="B129" s="32" t="n">
        <v>115</v>
      </c>
      <c r="C129" s="30" t="n">
        <f aca="false">G128</f>
        <v>0</v>
      </c>
      <c r="D129" s="30" t="n">
        <f aca="false">E129+F129</f>
        <v>0</v>
      </c>
      <c r="E129" s="30" t="n">
        <f aca="false">IF(B129&lt;=$F$7,C129*$F$6/12,0)</f>
        <v>0</v>
      </c>
      <c r="F129" s="30" t="n">
        <f aca="false">IF(B129&lt;=$F$7,MIN($F$8-E129,C129),0)</f>
        <v>0</v>
      </c>
      <c r="G129" s="30" t="n">
        <f aca="false">C129-F129</f>
        <v>0</v>
      </c>
      <c r="I129" s="32" t="n">
        <v>115</v>
      </c>
      <c r="J129" s="30" t="n">
        <f aca="false">N128</f>
        <v>7.61701812734827E-012</v>
      </c>
      <c r="K129" s="30" t="n">
        <f aca="false">L129+M129</f>
        <v>0</v>
      </c>
      <c r="L129" s="30" t="n">
        <f aca="false">IF(I129&lt;=$M$7,J129*$M$6/12,0)</f>
        <v>0</v>
      </c>
      <c r="M129" s="30" t="n">
        <f aca="false">IF(I129&lt;=$M$7,MIN($M$8-L129,J129),0)</f>
        <v>0</v>
      </c>
      <c r="N129" s="30" t="n">
        <f aca="false">J129-M129</f>
        <v>7.61701812734827E-012</v>
      </c>
    </row>
    <row r="130" customFormat="false" ht="15" hidden="false" customHeight="false" outlineLevel="0" collapsed="false">
      <c r="B130" s="32" t="n">
        <v>116</v>
      </c>
      <c r="C130" s="30" t="n">
        <f aca="false">G129</f>
        <v>0</v>
      </c>
      <c r="D130" s="30" t="n">
        <f aca="false">E130+F130</f>
        <v>0</v>
      </c>
      <c r="E130" s="30" t="n">
        <f aca="false">IF(B130&lt;=$F$7,C130*$F$6/12,0)</f>
        <v>0</v>
      </c>
      <c r="F130" s="30" t="n">
        <f aca="false">IF(B130&lt;=$F$7,MIN($F$8-E130,C130),0)</f>
        <v>0</v>
      </c>
      <c r="G130" s="30" t="n">
        <f aca="false">C130-F130</f>
        <v>0</v>
      </c>
      <c r="I130" s="32" t="n">
        <v>116</v>
      </c>
      <c r="J130" s="30" t="n">
        <f aca="false">N129</f>
        <v>7.61701812734827E-012</v>
      </c>
      <c r="K130" s="30" t="n">
        <f aca="false">L130+M130</f>
        <v>0</v>
      </c>
      <c r="L130" s="30" t="n">
        <f aca="false">IF(I130&lt;=$M$7,J130*$M$6/12,0)</f>
        <v>0</v>
      </c>
      <c r="M130" s="30" t="n">
        <f aca="false">IF(I130&lt;=$M$7,MIN($M$8-L130,J130),0)</f>
        <v>0</v>
      </c>
      <c r="N130" s="30" t="n">
        <f aca="false">J130-M130</f>
        <v>7.61701812734827E-012</v>
      </c>
    </row>
    <row r="131" customFormat="false" ht="15" hidden="false" customHeight="false" outlineLevel="0" collapsed="false">
      <c r="B131" s="32" t="n">
        <v>117</v>
      </c>
      <c r="C131" s="30" t="n">
        <f aca="false">G130</f>
        <v>0</v>
      </c>
      <c r="D131" s="30" t="n">
        <f aca="false">E131+F131</f>
        <v>0</v>
      </c>
      <c r="E131" s="30" t="n">
        <f aca="false">IF(B131&lt;=$F$7,C131*$F$6/12,0)</f>
        <v>0</v>
      </c>
      <c r="F131" s="30" t="n">
        <f aca="false">IF(B131&lt;=$F$7,MIN($F$8-E131,C131),0)</f>
        <v>0</v>
      </c>
      <c r="G131" s="30" t="n">
        <f aca="false">C131-F131</f>
        <v>0</v>
      </c>
      <c r="I131" s="32" t="n">
        <v>117</v>
      </c>
      <c r="J131" s="30" t="n">
        <f aca="false">N130</f>
        <v>7.61701812734827E-012</v>
      </c>
      <c r="K131" s="30" t="n">
        <f aca="false">L131+M131</f>
        <v>0</v>
      </c>
      <c r="L131" s="30" t="n">
        <f aca="false">IF(I131&lt;=$M$7,J131*$M$6/12,0)</f>
        <v>0</v>
      </c>
      <c r="M131" s="30" t="n">
        <f aca="false">IF(I131&lt;=$M$7,MIN($M$8-L131,J131),0)</f>
        <v>0</v>
      </c>
      <c r="N131" s="30" t="n">
        <f aca="false">J131-M131</f>
        <v>7.61701812734827E-012</v>
      </c>
    </row>
    <row r="132" customFormat="false" ht="15" hidden="false" customHeight="false" outlineLevel="0" collapsed="false">
      <c r="B132" s="32" t="n">
        <v>118</v>
      </c>
      <c r="C132" s="30" t="n">
        <f aca="false">G131</f>
        <v>0</v>
      </c>
      <c r="D132" s="30" t="n">
        <f aca="false">E132+F132</f>
        <v>0</v>
      </c>
      <c r="E132" s="30" t="n">
        <f aca="false">IF(B132&lt;=$F$7,C132*$F$6/12,0)</f>
        <v>0</v>
      </c>
      <c r="F132" s="30" t="n">
        <f aca="false">IF(B132&lt;=$F$7,MIN($F$8-E132,C132),0)</f>
        <v>0</v>
      </c>
      <c r="G132" s="30" t="n">
        <f aca="false">C132-F132</f>
        <v>0</v>
      </c>
      <c r="I132" s="32" t="n">
        <v>118</v>
      </c>
      <c r="J132" s="30" t="n">
        <f aca="false">N131</f>
        <v>7.61701812734827E-012</v>
      </c>
      <c r="K132" s="30" t="n">
        <f aca="false">L132+M132</f>
        <v>0</v>
      </c>
      <c r="L132" s="30" t="n">
        <f aca="false">IF(I132&lt;=$M$7,J132*$M$6/12,0)</f>
        <v>0</v>
      </c>
      <c r="M132" s="30" t="n">
        <f aca="false">IF(I132&lt;=$M$7,MIN($M$8-L132,J132),0)</f>
        <v>0</v>
      </c>
      <c r="N132" s="30" t="n">
        <f aca="false">J132-M132</f>
        <v>7.61701812734827E-012</v>
      </c>
    </row>
    <row r="133" customFormat="false" ht="15" hidden="false" customHeight="false" outlineLevel="0" collapsed="false">
      <c r="B133" s="32" t="n">
        <v>119</v>
      </c>
      <c r="C133" s="30" t="n">
        <f aca="false">G132</f>
        <v>0</v>
      </c>
      <c r="D133" s="30" t="n">
        <f aca="false">E133+F133</f>
        <v>0</v>
      </c>
      <c r="E133" s="30" t="n">
        <f aca="false">IF(B133&lt;=$F$7,C133*$F$6/12,0)</f>
        <v>0</v>
      </c>
      <c r="F133" s="30" t="n">
        <f aca="false">IF(B133&lt;=$F$7,MIN($F$8-E133,C133),0)</f>
        <v>0</v>
      </c>
      <c r="G133" s="30" t="n">
        <f aca="false">C133-F133</f>
        <v>0</v>
      </c>
      <c r="I133" s="32" t="n">
        <v>119</v>
      </c>
      <c r="J133" s="30" t="n">
        <f aca="false">N132</f>
        <v>7.61701812734827E-012</v>
      </c>
      <c r="K133" s="30" t="n">
        <f aca="false">L133+M133</f>
        <v>0</v>
      </c>
      <c r="L133" s="30" t="n">
        <f aca="false">IF(I133&lt;=$M$7,J133*$M$6/12,0)</f>
        <v>0</v>
      </c>
      <c r="M133" s="30" t="n">
        <f aca="false">IF(I133&lt;=$M$7,MIN($M$8-L133,J133),0)</f>
        <v>0</v>
      </c>
      <c r="N133" s="30" t="n">
        <f aca="false">J133-M133</f>
        <v>7.61701812734827E-012</v>
      </c>
    </row>
    <row r="134" customFormat="false" ht="15" hidden="false" customHeight="false" outlineLevel="0" collapsed="false">
      <c r="B134" s="32" t="n">
        <v>120</v>
      </c>
      <c r="C134" s="30" t="n">
        <f aca="false">G133</f>
        <v>0</v>
      </c>
      <c r="D134" s="30" t="n">
        <f aca="false">E134+F134</f>
        <v>0</v>
      </c>
      <c r="E134" s="30" t="n">
        <f aca="false">IF(B134&lt;=$F$7,C134*$F$6/12,0)</f>
        <v>0</v>
      </c>
      <c r="F134" s="30" t="n">
        <f aca="false">IF(B134&lt;=$F$7,MIN($F$8-E134,C134),0)</f>
        <v>0</v>
      </c>
      <c r="G134" s="30" t="n">
        <f aca="false">C134-F134</f>
        <v>0</v>
      </c>
      <c r="I134" s="32" t="n">
        <v>120</v>
      </c>
      <c r="J134" s="30" t="n">
        <f aca="false">N133</f>
        <v>7.61701812734827E-012</v>
      </c>
      <c r="K134" s="30" t="n">
        <f aca="false">L134+M134</f>
        <v>0</v>
      </c>
      <c r="L134" s="30" t="n">
        <f aca="false">IF(I134&lt;=$M$7,J134*$M$6/12,0)</f>
        <v>0</v>
      </c>
      <c r="M134" s="30" t="n">
        <f aca="false">IF(I134&lt;=$M$7,MIN($M$8-L134,J134),0)</f>
        <v>0</v>
      </c>
      <c r="N134" s="30" t="n">
        <f aca="false">J134-M134</f>
        <v>7.61701812734827E-012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56"/>
    <col collapsed="false" customWidth="true" hidden="false" outlineLevel="0" max="3" min="3" style="0" width="16"/>
    <col collapsed="false" customWidth="true" hidden="false" outlineLevel="0" max="4" min="4" style="0" width="14"/>
    <col collapsed="false" customWidth="true" hidden="false" outlineLevel="0" max="5" min="5" style="0" width="60"/>
  </cols>
  <sheetData>
    <row r="1" customFormat="false" ht="17.35" hidden="false" customHeight="false" outlineLevel="0" collapsed="false">
      <c r="B1" s="1" t="s">
        <v>526</v>
      </c>
    </row>
    <row r="2" customFormat="false" ht="15" hidden="false" customHeight="false" outlineLevel="0" collapsed="false">
      <c r="B2" s="2" t="s">
        <v>527</v>
      </c>
    </row>
    <row r="4" customFormat="false" ht="15" hidden="false" customHeight="false" outlineLevel="0" collapsed="false">
      <c r="B4" s="6" t="s">
        <v>528</v>
      </c>
      <c r="C4" s="6" t="s">
        <v>529</v>
      </c>
      <c r="D4" s="6" t="s">
        <v>530</v>
      </c>
      <c r="E4" s="6" t="s">
        <v>531</v>
      </c>
    </row>
    <row r="5" customFormat="false" ht="15" hidden="false" customHeight="false" outlineLevel="0" collapsed="false">
      <c r="B5" s="10" t="s">
        <v>532</v>
      </c>
      <c r="C5" s="65" t="n">
        <f aca="false">Assumptions!$C$82</f>
        <v>95000</v>
      </c>
      <c r="D5" s="28" t="n">
        <f aca="false">IF($C$11=0,0,C5/$C$11)</f>
        <v>0.572979493365501</v>
      </c>
      <c r="E5" s="2"/>
    </row>
    <row r="6" customFormat="false" ht="15" hidden="false" customHeight="false" outlineLevel="0" collapsed="false">
      <c r="B6" s="10" t="s">
        <v>533</v>
      </c>
      <c r="C6" s="65" t="n">
        <f aca="false">Assumptions!$C$83</f>
        <v>35000</v>
      </c>
      <c r="D6" s="28" t="n">
        <f aca="false">IF($C$11=0,0,C6/$C$11)</f>
        <v>0.211097708082027</v>
      </c>
      <c r="E6" s="2"/>
    </row>
    <row r="7" customFormat="false" ht="15" hidden="false" customHeight="false" outlineLevel="0" collapsed="false">
      <c r="B7" s="10" t="s">
        <v>534</v>
      </c>
      <c r="C7" s="65" t="n">
        <f aca="false">Compliance!$G$20</f>
        <v>600</v>
      </c>
      <c r="D7" s="28" t="n">
        <f aca="false">IF($C$11=0,0,C7/$C$11)</f>
        <v>0.00361881785283474</v>
      </c>
      <c r="E7" s="2" t="s">
        <v>535</v>
      </c>
    </row>
    <row r="8" customFormat="false" ht="15" hidden="false" customHeight="false" outlineLevel="0" collapsed="false">
      <c r="B8" s="10" t="s">
        <v>536</v>
      </c>
      <c r="C8" s="65" t="n">
        <f aca="false">(Assumptions!$C$50*Assumptions!$C$135+Assumptions!$C$51)*Assumptions!$C$52</f>
        <v>3200</v>
      </c>
      <c r="D8" s="28" t="n">
        <f aca="false">IF($C$11=0,0,C8/$C$11)</f>
        <v>0.0193003618817853</v>
      </c>
      <c r="E8" s="2" t="s">
        <v>537</v>
      </c>
    </row>
    <row r="9" customFormat="false" ht="15" hidden="false" customHeight="false" outlineLevel="0" collapsed="false">
      <c r="B9" s="10" t="s">
        <v>538</v>
      </c>
      <c r="C9" s="65" t="n">
        <f aca="false">Assumptions!$C$104</f>
        <v>2000</v>
      </c>
      <c r="D9" s="28" t="n">
        <f aca="false">IF($C$11=0,0,C9/$C$11)</f>
        <v>0.0120627261761158</v>
      </c>
      <c r="E9" s="2"/>
    </row>
    <row r="10" customFormat="false" ht="15" hidden="false" customHeight="false" outlineLevel="0" collapsed="false">
      <c r="B10" s="10" t="s">
        <v>539</v>
      </c>
      <c r="C10" s="65" t="n">
        <f aca="false">Assumptions!$C$105</f>
        <v>30000</v>
      </c>
      <c r="D10" s="28" t="n">
        <f aca="false">IF($C$11=0,0,C10/$C$11)</f>
        <v>0.180940892641737</v>
      </c>
      <c r="E10" s="2" t="s">
        <v>540</v>
      </c>
    </row>
    <row r="11" customFormat="false" ht="15" hidden="false" customHeight="false" outlineLevel="0" collapsed="false">
      <c r="B11" s="62" t="s">
        <v>541</v>
      </c>
      <c r="C11" s="52" t="n">
        <f aca="false">SUM(C5:C10)</f>
        <v>165800</v>
      </c>
    </row>
    <row r="13" customFormat="false" ht="15" hidden="false" customHeight="false" outlineLevel="0" collapsed="false">
      <c r="B13" s="6" t="s">
        <v>542</v>
      </c>
      <c r="C13" s="6" t="s">
        <v>529</v>
      </c>
      <c r="D13" s="6" t="s">
        <v>530</v>
      </c>
      <c r="E13" s="6" t="s">
        <v>531</v>
      </c>
    </row>
    <row r="14" customFormat="false" ht="15" hidden="false" customHeight="false" outlineLevel="0" collapsed="false">
      <c r="B14" s="10" t="s">
        <v>510</v>
      </c>
      <c r="C14" s="65" t="n">
        <f aca="false">Assumptions!$C$145</f>
        <v>80750</v>
      </c>
      <c r="D14" s="28" t="n">
        <f aca="false">IF($C$17=0,0,C14/$C$17)</f>
        <v>0.484984984984985</v>
      </c>
      <c r="E14" s="2" t="s">
        <v>297</v>
      </c>
    </row>
    <row r="15" customFormat="false" ht="15" hidden="false" customHeight="false" outlineLevel="0" collapsed="false">
      <c r="B15" s="10" t="s">
        <v>511</v>
      </c>
      <c r="C15" s="65" t="n">
        <f aca="false">Assumptions!$C$146</f>
        <v>29750</v>
      </c>
      <c r="D15" s="28" t="n">
        <f aca="false">IF($C$17=0,0,C15/$C$17)</f>
        <v>0.178678678678679</v>
      </c>
      <c r="E15" s="2" t="s">
        <v>297</v>
      </c>
    </row>
    <row r="16" customFormat="false" ht="15" hidden="false" customHeight="false" outlineLevel="0" collapsed="false">
      <c r="B16" s="10" t="s">
        <v>543</v>
      </c>
      <c r="C16" s="65" t="n">
        <f aca="false">Assumptions!$C$107</f>
        <v>56000</v>
      </c>
      <c r="D16" s="28" t="n">
        <f aca="false">IF($C$17=0,0,C16/$C$17)</f>
        <v>0.336336336336336</v>
      </c>
      <c r="E16" s="2"/>
    </row>
    <row r="17" customFormat="false" ht="15" hidden="false" customHeight="false" outlineLevel="0" collapsed="false">
      <c r="B17" s="62" t="s">
        <v>544</v>
      </c>
      <c r="C17" s="52" t="n">
        <f aca="false">SUM(C14:C16)</f>
        <v>166500</v>
      </c>
    </row>
    <row r="19" customFormat="false" ht="15" hidden="false" customHeight="false" outlineLevel="0" collapsed="false">
      <c r="B19" s="3" t="s">
        <v>545</v>
      </c>
      <c r="C19" s="69" t="n">
        <f aca="false">C17-C11</f>
        <v>700</v>
      </c>
      <c r="D19" s="3" t="str">
        <f aca="false">IF(C19&gt;=0,"FUNDED","GAP")</f>
        <v>FUNDED</v>
      </c>
    </row>
    <row r="20" customFormat="false" ht="15" hidden="false" customHeight="false" outlineLevel="0" collapsed="false">
      <c r="B20" s="3" t="s">
        <v>546</v>
      </c>
      <c r="C20" s="69" t="n">
        <f aca="false">C17-(C11-Assumptions!$C$105)</f>
        <v>30700</v>
      </c>
      <c r="E20" s="2" t="s">
        <v>547</v>
      </c>
    </row>
    <row r="21" customFormat="false" ht="15" hidden="false" customHeight="false" outlineLevel="0" collapsed="false">
      <c r="B21" s="10" t="s">
        <v>548</v>
      </c>
      <c r="C21" s="28" t="n">
        <f aca="false">IF(C11=0,0,(C14+C15)/C11)</f>
        <v>0.666465621230398</v>
      </c>
    </row>
    <row r="23" customFormat="false" ht="15" hidden="false" customHeight="false" outlineLevel="0" collapsed="false">
      <c r="B23" s="2" t="s">
        <v>549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5" min="3" style="0" width="15"/>
    <col collapsed="false" customWidth="true" hidden="false" outlineLevel="0" max="6" min="6" style="0" width="70"/>
  </cols>
  <sheetData>
    <row r="1" customFormat="false" ht="17.35" hidden="false" customHeight="false" outlineLevel="0" collapsed="false">
      <c r="B1" s="1" t="s">
        <v>550</v>
      </c>
    </row>
    <row r="2" customFormat="false" ht="15" hidden="false" customHeight="false" outlineLevel="0" collapsed="false">
      <c r="B2" s="2" t="s">
        <v>551</v>
      </c>
    </row>
    <row r="4" customFormat="false" ht="15" hidden="false" customHeight="false" outlineLevel="0" collapsed="false">
      <c r="B4" s="6" t="s">
        <v>552</v>
      </c>
      <c r="C4" s="6" t="s">
        <v>307</v>
      </c>
      <c r="D4" s="6" t="s">
        <v>308</v>
      </c>
      <c r="E4" s="6" t="s">
        <v>309</v>
      </c>
      <c r="F4" s="6" t="s">
        <v>475</v>
      </c>
    </row>
    <row r="5" customFormat="false" ht="15" hidden="false" customHeight="false" outlineLevel="0" collapsed="false">
      <c r="B5" s="3" t="s">
        <v>415</v>
      </c>
      <c r="C5" s="69" t="n">
        <f aca="false">'P&amp;L'!AM7</f>
        <v>262185</v>
      </c>
      <c r="D5" s="69" t="n">
        <f aca="false">'P&amp;L'!AN7</f>
        <v>282744</v>
      </c>
      <c r="E5" s="69" t="n">
        <f aca="false">'P&amp;L'!AO7</f>
        <v>288398.88</v>
      </c>
      <c r="F5" s="2" t="s">
        <v>39</v>
      </c>
    </row>
    <row r="6" customFormat="false" ht="15" hidden="false" customHeight="false" outlineLevel="0" collapsed="false">
      <c r="B6" s="10" t="s">
        <v>553</v>
      </c>
      <c r="C6" s="32" t="n">
        <f aca="false">Revenue!AM9</f>
        <v>119175</v>
      </c>
      <c r="D6" s="32" t="n">
        <f aca="false">Revenue!AN9</f>
        <v>126000</v>
      </c>
      <c r="E6" s="32" t="n">
        <f aca="false">Revenue!AO9</f>
        <v>126000</v>
      </c>
      <c r="F6" s="2" t="s">
        <v>477</v>
      </c>
    </row>
    <row r="7" customFormat="false" ht="15" hidden="false" customHeight="false" outlineLevel="0" collapsed="false">
      <c r="B7" s="10" t="s">
        <v>554</v>
      </c>
      <c r="C7" s="32" t="n">
        <f aca="false">Revenue!AM11</f>
        <v>104874</v>
      </c>
      <c r="D7" s="32" t="n">
        <f aca="false">Revenue!AN11</f>
        <v>110880</v>
      </c>
      <c r="E7" s="32" t="n">
        <f aca="false">Revenue!AO11</f>
        <v>110880</v>
      </c>
      <c r="F7" s="2" t="s">
        <v>477</v>
      </c>
    </row>
    <row r="8" customFormat="false" ht="15" hidden="false" customHeight="false" outlineLevel="0" collapsed="false">
      <c r="B8" s="10" t="s">
        <v>323</v>
      </c>
      <c r="C8" s="48" t="n">
        <f aca="false">Revenue!AM24</f>
        <v>2.2</v>
      </c>
      <c r="D8" s="48" t="n">
        <f aca="false">Revenue!AN24</f>
        <v>2.244</v>
      </c>
      <c r="E8" s="48" t="n">
        <f aca="false">Revenue!AO24</f>
        <v>2.28888</v>
      </c>
      <c r="F8" s="2" t="s">
        <v>555</v>
      </c>
    </row>
    <row r="9" customFormat="false" ht="15" hidden="false" customHeight="false" outlineLevel="0" collapsed="false">
      <c r="B9" s="10" t="s">
        <v>556</v>
      </c>
      <c r="C9" s="48" t="n">
        <f aca="false">IF(Revenue!AM11=0,0,Revenue!AM22/Revenue!AM11)</f>
        <v>2.5</v>
      </c>
      <c r="D9" s="48" t="n">
        <f aca="false">IF(Revenue!AN11=0,0,Revenue!AN22/Revenue!AN11)</f>
        <v>2.55</v>
      </c>
      <c r="E9" s="48" t="n">
        <f aca="false">IF(Revenue!AO11=0,0,Revenue!AO22/Revenue!AO11)</f>
        <v>2.601</v>
      </c>
      <c r="F9" s="2" t="s">
        <v>557</v>
      </c>
    </row>
    <row r="10" customFormat="false" ht="15" hidden="false" customHeight="false" outlineLevel="0" collapsed="false">
      <c r="B10" s="3" t="s">
        <v>558</v>
      </c>
      <c r="C10" s="70" t="n">
        <f aca="false">'Cost per Mile'!C24</f>
        <v>1.68549085314549</v>
      </c>
      <c r="D10" s="70" t="n">
        <f aca="false">'Cost per Mile'!D24</f>
        <v>1.65775572337348</v>
      </c>
      <c r="E10" s="70" t="n">
        <f aca="false">'Cost per Mile'!E24</f>
        <v>1.65479427106404</v>
      </c>
      <c r="F10" s="2" t="s">
        <v>559</v>
      </c>
    </row>
    <row r="11" customFormat="false" ht="15" hidden="false" customHeight="false" outlineLevel="0" collapsed="false">
      <c r="B11" s="10" t="s">
        <v>560</v>
      </c>
      <c r="C11" s="28" t="n">
        <f aca="false">'P&amp;L'!AM27</f>
        <v>0.724151619305804</v>
      </c>
      <c r="D11" s="28" t="n">
        <f aca="false">'P&amp;L'!AN27</f>
        <v>0.706856705386117</v>
      </c>
      <c r="E11" s="28" t="n">
        <f aca="false">'P&amp;L'!AO27</f>
        <v>0.699378223340161</v>
      </c>
      <c r="F11" s="2" t="s">
        <v>561</v>
      </c>
    </row>
    <row r="12" customFormat="false" ht="15" hidden="false" customHeight="false" outlineLevel="0" collapsed="false">
      <c r="B12" s="10" t="s">
        <v>562</v>
      </c>
      <c r="C12" s="31" t="n">
        <f aca="false">'P&amp;L'!AM19</f>
        <v>91523.3076923077</v>
      </c>
      <c r="D12" s="31" t="n">
        <f aca="false">'P&amp;L'!AN19</f>
        <v>102084.507692308</v>
      </c>
      <c r="E12" s="31" t="n">
        <f aca="false">'P&amp;L'!AO19</f>
        <v>105898.983692308</v>
      </c>
      <c r="F12" s="2" t="s">
        <v>563</v>
      </c>
    </row>
    <row r="13" customFormat="false" ht="15" hidden="false" customHeight="false" outlineLevel="0" collapsed="false">
      <c r="B13" s="3" t="s">
        <v>437</v>
      </c>
      <c r="C13" s="69" t="n">
        <f aca="false">'P&amp;L'!AM24</f>
        <v>61316.6275763863</v>
      </c>
      <c r="D13" s="69" t="n">
        <f aca="false">'P&amp;L'!AN24</f>
        <v>73866.7788549412</v>
      </c>
      <c r="E13" s="69" t="n">
        <f aca="false">'P&amp;L'!AO24</f>
        <v>79894.8018459309</v>
      </c>
      <c r="F13" s="2" t="s">
        <v>564</v>
      </c>
    </row>
    <row r="14" customFormat="false" ht="15" hidden="false" customHeight="false" outlineLevel="0" collapsed="false">
      <c r="B14" s="10" t="s">
        <v>565</v>
      </c>
      <c r="C14" s="31" t="n">
        <f aca="false">(Loan!$F$9+Loan!$M$9)</f>
        <v>28653.6029193141</v>
      </c>
      <c r="D14" s="31" t="n">
        <f aca="false">(Loan!$F$10+Loan!$M$10)</f>
        <v>28653.6029193141</v>
      </c>
      <c r="E14" s="31" t="n">
        <f aca="false">(Loan!$F$11+Loan!$M$11)</f>
        <v>28653.6029193141</v>
      </c>
      <c r="F14" s="2" t="s">
        <v>566</v>
      </c>
    </row>
    <row r="15" customFormat="false" ht="15" hidden="false" customHeight="false" outlineLevel="0" collapsed="false">
      <c r="B15" s="3" t="s">
        <v>567</v>
      </c>
      <c r="C15" s="76" t="n">
        <f aca="false">IF((Loan!$F$9+Loan!$M$9)=0,"-",('P&amp;L'!AM19-'P&amp;L'!AM23)/(Loan!$F$9+Loan!$M$9))</f>
        <v>3.19412912749677</v>
      </c>
      <c r="D15" s="76" t="n">
        <f aca="false">IF((Loan!$F$10+Loan!$M$10)=0,"-",('P&amp;L'!AN19-'P&amp;L'!AN23)/(Loan!$F$10+Loan!$M$10))</f>
        <v>3.56271104823251</v>
      </c>
      <c r="E15" s="76" t="n">
        <f aca="false">IF((Loan!$F$11+Loan!$M$11)=0,"-",('P&amp;L'!AO19-'P&amp;L'!AO23)/(Loan!$F$11+Loan!$M$11))</f>
        <v>3.69583483063227</v>
      </c>
      <c r="F15" s="2" t="s">
        <v>568</v>
      </c>
    </row>
    <row r="16" customFormat="false" ht="15" hidden="false" customHeight="false" outlineLevel="0" collapsed="false">
      <c r="B16" s="3" t="s">
        <v>569</v>
      </c>
      <c r="C16" s="76" t="n">
        <f aca="false">IF((Loan!$F$9+Loan!$M$9)=0,"-",('P&amp;L'!AM19-'P&amp;L'!AM23+'Cash Flow'!AM14)/(Loan!$F$9+Loan!$M$9))</f>
        <v>1.30954937143402</v>
      </c>
      <c r="D16" s="76" t="n">
        <f aca="false">IF((Loan!$F$10+Loan!$M$10)=0,"-",('P&amp;L'!AN19-'P&amp;L'!AN23+'Cash Flow'!AN14)/(Loan!$F$10+Loan!$M$10))</f>
        <v>1.67813129216975</v>
      </c>
      <c r="E16" s="76" t="n">
        <f aca="false">IF((Loan!$F$11+Loan!$M$11)=0,"-",('P&amp;L'!AO19-'P&amp;L'!AO23+'Cash Flow'!AO14)/(Loan!$F$11+Loan!$M$11))</f>
        <v>1.81125507456952</v>
      </c>
      <c r="F16" s="2" t="s">
        <v>570</v>
      </c>
    </row>
    <row r="17" customFormat="false" ht="15" hidden="false" customHeight="false" outlineLevel="0" collapsed="false">
      <c r="B17" s="10" t="s">
        <v>571</v>
      </c>
      <c r="C17" s="31" t="n">
        <f aca="false">'Cash Flow'!AM18</f>
        <v>19669.7047729935</v>
      </c>
      <c r="D17" s="31" t="n">
        <f aca="false">'Cash Flow'!AN18</f>
        <v>38638.6095459871</v>
      </c>
      <c r="E17" s="31" t="n">
        <f aca="false">'Cash Flow'!AO18</f>
        <v>61412.7503189806</v>
      </c>
      <c r="F17" s="2" t="s">
        <v>572</v>
      </c>
    </row>
    <row r="18" customFormat="false" ht="15" hidden="false" customHeight="false" outlineLevel="0" collapsed="false">
      <c r="B18" s="3" t="s">
        <v>573</v>
      </c>
      <c r="C18" s="69" t="n">
        <f aca="false">MIN('Cash Flow'!C18:N18)</f>
        <v>4415.67619324839</v>
      </c>
      <c r="D18" s="69" t="n">
        <f aca="false">MIN('Cash Flow'!O18:Z18)</f>
        <v>18072.3635040763</v>
      </c>
      <c r="E18" s="69" t="n">
        <f aca="false">MIN('Cash Flow'!AA18:AL18)</f>
        <v>37349.9012770699</v>
      </c>
      <c r="F18" s="2" t="s">
        <v>574</v>
      </c>
    </row>
    <row r="19" customFormat="false" ht="15" hidden="false" customHeight="false" outlineLevel="0" collapsed="false">
      <c r="B19" s="10" t="s">
        <v>575</v>
      </c>
      <c r="C19" s="32" t="n">
        <f aca="false">COUNTIF('Cash Flow'!C19:N19,"?*")</f>
        <v>4</v>
      </c>
      <c r="D19" s="32" t="n">
        <f aca="false">COUNTIF('Cash Flow'!O19:Z19,"?*")</f>
        <v>0</v>
      </c>
      <c r="E19" s="32" t="n">
        <f aca="false">COUNTIF('Cash Flow'!AA19:AL19,"?*")</f>
        <v>0</v>
      </c>
      <c r="F19" s="2" t="s">
        <v>576</v>
      </c>
    </row>
    <row r="21" customFormat="false" ht="15" hidden="false" customHeight="false" outlineLevel="0" collapsed="false">
      <c r="B21" s="2" t="s">
        <v>577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66"/>
    <col collapsed="false" customWidth="true" hidden="false" outlineLevel="0" max="3" min="3" style="0" width="12"/>
    <col collapsed="false" customWidth="true" hidden="false" outlineLevel="0" max="4" min="4" style="0" width="16"/>
    <col collapsed="false" customWidth="true" hidden="false" outlineLevel="0" max="5" min="5" style="0" width="70"/>
  </cols>
  <sheetData>
    <row r="1" customFormat="false" ht="17.35" hidden="false" customHeight="false" outlineLevel="0" collapsed="false">
      <c r="B1" s="1" t="s">
        <v>578</v>
      </c>
    </row>
    <row r="2" customFormat="false" ht="15" hidden="false" customHeight="false" outlineLevel="0" collapsed="false">
      <c r="B2" s="2" t="s">
        <v>579</v>
      </c>
    </row>
    <row r="4" customFormat="false" ht="15" hidden="false" customHeight="false" outlineLevel="0" collapsed="false">
      <c r="B4" s="6" t="s">
        <v>580</v>
      </c>
      <c r="C4" s="6" t="s">
        <v>581</v>
      </c>
      <c r="D4" s="6" t="s">
        <v>582</v>
      </c>
      <c r="E4" s="6" t="s">
        <v>583</v>
      </c>
    </row>
    <row r="5" customFormat="false" ht="15" hidden="false" customHeight="false" outlineLevel="0" collapsed="false">
      <c r="B5" s="10" t="s">
        <v>584</v>
      </c>
      <c r="C5" s="3" t="str">
        <f aca="false">IF('Startup &amp; Funding'!$C$19&gt;=0,"OK","SHORTFALL")</f>
        <v>OK</v>
      </c>
      <c r="D5" s="30" t="n">
        <f aca="false">'Startup &amp; Funding'!$C$19</f>
        <v>700</v>
      </c>
      <c r="E5" s="2" t="s">
        <v>585</v>
      </c>
    </row>
    <row r="6" customFormat="false" ht="15" hidden="false" customHeight="false" outlineLevel="0" collapsed="false">
      <c r="B6" s="10" t="s">
        <v>586</v>
      </c>
      <c r="C6" s="3" t="str">
        <f aca="false">IF(ABS(INDEX(Loan!$G$15:$G$134,MAX(1,Loan!$F$7)))&lt;1,"OK","CHECK")</f>
        <v>OK</v>
      </c>
      <c r="D6" s="30" t="n">
        <f aca="false">INDEX(Loan!$G$15:$G$134,MAX(1,Loan!$F$7))</f>
        <v>0</v>
      </c>
      <c r="E6" s="2" t="s">
        <v>587</v>
      </c>
    </row>
    <row r="7" customFormat="false" ht="15" hidden="false" customHeight="false" outlineLevel="0" collapsed="false">
      <c r="B7" s="10" t="s">
        <v>588</v>
      </c>
      <c r="C7" s="3" t="str">
        <f aca="false">IF(ABS(INDEX(Loan!$N$15:$N$134,MAX(1,Loan!$M$7)))&lt;1,"OK","CHECK")</f>
        <v>OK</v>
      </c>
      <c r="D7" s="30" t="n">
        <f aca="false">INDEX(Loan!$N$15:$N$134,MAX(1,Loan!$M$7))</f>
        <v>7.61701812734827E-012</v>
      </c>
      <c r="E7" s="2" t="s">
        <v>587</v>
      </c>
    </row>
    <row r="8" customFormat="false" ht="15" hidden="false" customHeight="false" outlineLevel="0" collapsed="false">
      <c r="B8" s="10" t="s">
        <v>589</v>
      </c>
      <c r="C8" s="3" t="str">
        <f aca="false">IF(ABS(SUM('P&amp;L'!AM7:AO7)-SUM(Revenue!C22:AL22))&lt;1,"OK","CHECK")</f>
        <v>OK</v>
      </c>
      <c r="D8" s="30" t="n">
        <f aca="false">SUM('P&amp;L'!AM7:AO7)-SUM(Revenue!C22:AL22)</f>
        <v>0</v>
      </c>
      <c r="E8" s="2" t="s">
        <v>590</v>
      </c>
    </row>
    <row r="9" customFormat="false" ht="15" hidden="false" customHeight="false" outlineLevel="0" collapsed="false">
      <c r="B9" s="10" t="s">
        <v>591</v>
      </c>
      <c r="C9" s="3" t="str">
        <f aca="false">IF(ABS(SUM(Revenue!C11:AL11)+SUM(Revenue!C10:AL10)-SUM(Revenue!C9:AL9))&lt;1,"OK","CHECK")</f>
        <v>OK</v>
      </c>
      <c r="D9" s="30" t="n">
        <f aca="false">SUM(Revenue!C11:AL11)+SUM(Revenue!C10:AL10)-SUM(Revenue!C9:AL9)</f>
        <v>0</v>
      </c>
      <c r="E9" s="2" t="s">
        <v>592</v>
      </c>
    </row>
    <row r="10" customFormat="false" ht="15" hidden="false" customHeight="false" outlineLevel="0" collapsed="false">
      <c r="B10" s="10" t="s">
        <v>593</v>
      </c>
      <c r="C10" s="3" t="str">
        <f aca="false">IF(ABS(('Startup &amp; Funding'!$C$20+SUM('P&amp;L'!C24:N24)+SUM('P&amp;L'!C20:N20)+(SUM('Operating Costs'!C21:N21)+SUM('Operating Costs'!C22:N22)-SUM('Operating Costs'!C35:N35)-SUM('Operating Costs'!C36:N36))-(SUM(Revenue!C22:N22)-SUM('Cash Flow'!C11:N11))-(SUM(INDEX(Loan!$F$15:$F$134,1):INDEX(Loan!$F$15:$F$134,12))+SUM(INDEX(Loan!$M$15:$M$134,1):INDEX(Loan!$M$15:$M$134,12)))-12*Assumptions!$C$99)-'Cash Flow'!N18)&lt;1,"OK","CHECK")</f>
        <v>OK</v>
      </c>
      <c r="D10" s="30" t="n">
        <f aca="false">('Startup &amp; Funding'!$C$20+SUM('P&amp;L'!C24:N24)+SUM('P&amp;L'!C20:N20)+(SUM('Operating Costs'!C21:N21)+SUM('Operating Costs'!C22:N22)-SUM('Operating Costs'!C35:N35)-SUM('Operating Costs'!C36:N36))-(SUM(Revenue!C22:N22)-SUM('Cash Flow'!C11:N11))-(SUM(INDEX(Loan!$F$15:$F$134,1):INDEX(Loan!$F$15:$F$134,12))+SUM(INDEX(Loan!$M$15:$M$134,1):INDEX(Loan!$M$15:$M$134,12)))-12*Assumptions!$C$99)-'Cash Flow'!N18</f>
        <v>0</v>
      </c>
      <c r="E10" s="2" t="s">
        <v>594</v>
      </c>
    </row>
    <row r="11" customFormat="false" ht="15" hidden="false" customHeight="false" outlineLevel="0" collapsed="false">
      <c r="B11" s="10" t="s">
        <v>595</v>
      </c>
      <c r="C11" s="3" t="str">
        <f aca="false">IF(ABS(('Startup &amp; Funding'!$C$20+SUM('P&amp;L'!C24:AL24)+SUM('P&amp;L'!C20:AL20)+(SUM('Operating Costs'!C21:AL21)+SUM('Operating Costs'!C22:AL22)-SUM('Operating Costs'!C35:AL35)-SUM('Operating Costs'!C36:AL36))-(SUM(Revenue!C22:AL22)-SUM('Cash Flow'!C11:AL11))-(SUM(INDEX(Loan!$F$15:$F$134,1):INDEX(Loan!$F$15:$F$134,36))+SUM(INDEX(Loan!$M$15:$M$134,1):INDEX(Loan!$M$15:$M$134,36)))-36*Assumptions!$C$99)-'Cash Flow'!AL18)&lt;1,"OK","CHECK")</f>
        <v>OK</v>
      </c>
      <c r="D11" s="30" t="n">
        <f aca="false">('Startup &amp; Funding'!$C$20+SUM('P&amp;L'!C24:AL24)+SUM('P&amp;L'!C20:AL20)+(SUM('Operating Costs'!C21:AL21)+SUM('Operating Costs'!C22:AL22)-SUM('Operating Costs'!C35:AL35)-SUM('Operating Costs'!C36:AL36))-(SUM(Revenue!C22:AL22)-SUM('Cash Flow'!C11:AL11))-(SUM(INDEX(Loan!$F$15:$F$134,1):INDEX(Loan!$F$15:$F$134,36))+SUM(INDEX(Loan!$M$15:$M$134,1):INDEX(Loan!$M$15:$M$134,36)))-36*Assumptions!$C$99)-'Cash Flow'!AL18</f>
        <v>0</v>
      </c>
      <c r="E11" s="2" t="s">
        <v>594</v>
      </c>
    </row>
    <row r="12" customFormat="false" ht="15" hidden="false" customHeight="false" outlineLevel="0" collapsed="false">
      <c r="B12" s="10" t="s">
        <v>596</v>
      </c>
      <c r="C12" s="3" t="str">
        <f aca="false">IF(ISTEXT('Break-Even'!C18),"n/a",IF(ABS('Break-Even'!C29)&lt;1,"OK","CHECK"))</f>
        <v>OK</v>
      </c>
      <c r="D12" s="30" t="n">
        <f aca="false">'Break-Even'!C29</f>
        <v>0</v>
      </c>
      <c r="E12" s="2" t="s">
        <v>597</v>
      </c>
    </row>
    <row r="13" customFormat="false" ht="15" hidden="false" customHeight="false" outlineLevel="0" collapsed="false">
      <c r="B13" s="10" t="s">
        <v>598</v>
      </c>
      <c r="C13" s="3" t="str">
        <f aca="false">IF(ISTEXT('Break-Even'!D18),"n/a",IF(ABS('Break-Even'!D29)&lt;1,"OK","CHECK"))</f>
        <v>OK</v>
      </c>
      <c r="D13" s="30" t="n">
        <f aca="false">'Break-Even'!D29</f>
        <v>0</v>
      </c>
      <c r="E13" s="2" t="s">
        <v>597</v>
      </c>
    </row>
    <row r="14" customFormat="false" ht="15" hidden="false" customHeight="false" outlineLevel="0" collapsed="false">
      <c r="B14" s="10" t="s">
        <v>599</v>
      </c>
      <c r="C14" s="3" t="str">
        <f aca="false">IF(Revenue!AM9=0,"n/a",IF(ABS('Cost per Mile'!C24*Revenue!AM9-('P&amp;L'!AM17+'P&amp;L'!AM20+'P&amp;L'!AM21))&lt;1,"OK","CHECK"))</f>
        <v>OK</v>
      </c>
      <c r="D14" s="30" t="n">
        <f aca="false">'Cost per Mile'!C24*Revenue!AM9-('P&amp;L'!AM17+'P&amp;L'!AM20+'P&amp;L'!AM21)</f>
        <v>0</v>
      </c>
      <c r="E14" s="2" t="s">
        <v>600</v>
      </c>
    </row>
    <row r="15" customFormat="false" ht="15" hidden="false" customHeight="false" outlineLevel="0" collapsed="false">
      <c r="B15" s="10" t="s">
        <v>601</v>
      </c>
      <c r="C15" s="3" t="str">
        <f aca="false">IF(Assumptions!$C$143&lt;=11,"OK","CHECK")</f>
        <v>OK</v>
      </c>
      <c r="E15" s="2" t="s">
        <v>602</v>
      </c>
    </row>
    <row r="16" customFormat="false" ht="15" hidden="false" customHeight="false" outlineLevel="0" collapsed="false">
      <c r="B16" s="10" t="s">
        <v>603</v>
      </c>
      <c r="C16" s="3" t="str">
        <f aca="false">IF(COUNTIF('Cash Flow'!C19:AL19,"SHORT")=0,"OK","CHECK")</f>
        <v>OK</v>
      </c>
      <c r="E16" s="2" t="s">
        <v>604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30"/>
    <col collapsed="false" customWidth="true" hidden="false" outlineLevel="0" max="4" min="4" style="0" width="70"/>
    <col collapsed="false" customWidth="true" hidden="false" outlineLevel="0" max="5" min="5" style="0" width="30"/>
    <col collapsed="false" customWidth="true" hidden="false" outlineLevel="0" max="6" min="6" style="0" width="24"/>
  </cols>
  <sheetData>
    <row r="1" customFormat="false" ht="17.35" hidden="false" customHeight="false" outlineLevel="0" collapsed="false">
      <c r="B1" s="1" t="s">
        <v>605</v>
      </c>
    </row>
    <row r="2" customFormat="false" ht="15" hidden="false" customHeight="false" outlineLevel="0" collapsed="false">
      <c r="B2" s="2" t="s">
        <v>606</v>
      </c>
    </row>
    <row r="4" customFormat="false" ht="15" hidden="false" customHeight="false" outlineLevel="0" collapsed="false">
      <c r="B4" s="6" t="s">
        <v>607</v>
      </c>
      <c r="C4" s="6" t="s">
        <v>608</v>
      </c>
      <c r="D4" s="6" t="s">
        <v>609</v>
      </c>
      <c r="E4" s="6" t="s">
        <v>610</v>
      </c>
      <c r="F4" s="6" t="s">
        <v>611</v>
      </c>
    </row>
    <row r="5" customFormat="false" ht="15" hidden="false" customHeight="false" outlineLevel="0" collapsed="false">
      <c r="B5" s="8" t="s">
        <v>612</v>
      </c>
      <c r="C5" s="8" t="s">
        <v>613</v>
      </c>
      <c r="D5" s="8" t="s">
        <v>614</v>
      </c>
      <c r="E5" s="77" t="s">
        <v>615</v>
      </c>
      <c r="F5" s="58" t="s">
        <v>616</v>
      </c>
    </row>
    <row r="6" customFormat="false" ht="15" hidden="false" customHeight="false" outlineLevel="0" collapsed="false">
      <c r="B6" s="8" t="s">
        <v>617</v>
      </c>
      <c r="C6" s="8" t="s">
        <v>618</v>
      </c>
      <c r="D6" s="8" t="s">
        <v>619</v>
      </c>
      <c r="E6" s="77" t="s">
        <v>615</v>
      </c>
      <c r="F6" s="58" t="s">
        <v>620</v>
      </c>
    </row>
    <row r="7" customFormat="false" ht="15" hidden="false" customHeight="false" outlineLevel="0" collapsed="false">
      <c r="B7" s="8" t="s">
        <v>621</v>
      </c>
      <c r="C7" s="8" t="s">
        <v>622</v>
      </c>
      <c r="D7" s="8" t="s">
        <v>623</v>
      </c>
      <c r="E7" s="77" t="s">
        <v>624</v>
      </c>
      <c r="F7" s="58" t="s">
        <v>620</v>
      </c>
    </row>
    <row r="8" customFormat="false" ht="15" hidden="false" customHeight="false" outlineLevel="0" collapsed="false">
      <c r="B8" s="8" t="s">
        <v>625</v>
      </c>
      <c r="C8" s="8" t="s">
        <v>626</v>
      </c>
      <c r="D8" s="8" t="s">
        <v>627</v>
      </c>
      <c r="E8" s="77" t="s">
        <v>628</v>
      </c>
      <c r="F8" s="58" t="s">
        <v>620</v>
      </c>
    </row>
    <row r="9" customFormat="false" ht="15" hidden="false" customHeight="false" outlineLevel="0" collapsed="false">
      <c r="B9" s="8" t="s">
        <v>629</v>
      </c>
      <c r="C9" s="8" t="s">
        <v>630</v>
      </c>
      <c r="D9" s="8" t="s">
        <v>631</v>
      </c>
      <c r="E9" s="77" t="s">
        <v>632</v>
      </c>
      <c r="F9" s="58" t="s">
        <v>633</v>
      </c>
    </row>
    <row r="10" customFormat="false" ht="15" hidden="false" customHeight="false" outlineLevel="0" collapsed="false">
      <c r="B10" s="8" t="s">
        <v>634</v>
      </c>
      <c r="C10" s="8" t="s">
        <v>622</v>
      </c>
      <c r="D10" s="8" t="s">
        <v>635</v>
      </c>
      <c r="E10" s="77" t="s">
        <v>636</v>
      </c>
      <c r="F10" s="58" t="s">
        <v>620</v>
      </c>
    </row>
    <row r="11" customFormat="false" ht="15" hidden="false" customHeight="false" outlineLevel="0" collapsed="false">
      <c r="B11" s="8" t="s">
        <v>637</v>
      </c>
      <c r="C11" s="8" t="s">
        <v>638</v>
      </c>
      <c r="D11" s="8" t="s">
        <v>639</v>
      </c>
      <c r="E11" s="77" t="s">
        <v>640</v>
      </c>
      <c r="F11" s="58" t="s">
        <v>620</v>
      </c>
    </row>
    <row r="12" customFormat="false" ht="15" hidden="false" customHeight="false" outlineLevel="0" collapsed="false">
      <c r="B12" s="8" t="s">
        <v>641</v>
      </c>
      <c r="C12" s="8" t="s">
        <v>642</v>
      </c>
      <c r="D12" s="8" t="s">
        <v>643</v>
      </c>
      <c r="E12" s="77" t="s">
        <v>644</v>
      </c>
      <c r="F12" s="58" t="s">
        <v>620</v>
      </c>
    </row>
    <row r="13" customFormat="false" ht="15" hidden="false" customHeight="false" outlineLevel="0" collapsed="false">
      <c r="B13" s="8" t="s">
        <v>645</v>
      </c>
      <c r="C13" s="8" t="s">
        <v>646</v>
      </c>
      <c r="D13" s="8" t="s">
        <v>647</v>
      </c>
      <c r="E13" s="77" t="s">
        <v>648</v>
      </c>
      <c r="F13" s="58" t="s">
        <v>620</v>
      </c>
    </row>
    <row r="14" customFormat="false" ht="15" hidden="false" customHeight="false" outlineLevel="0" collapsed="false">
      <c r="B14" s="8" t="s">
        <v>179</v>
      </c>
      <c r="C14" s="8" t="s">
        <v>649</v>
      </c>
      <c r="D14" s="8" t="s">
        <v>650</v>
      </c>
      <c r="E14" s="77" t="s">
        <v>651</v>
      </c>
      <c r="F14" s="58" t="s">
        <v>620</v>
      </c>
    </row>
    <row r="15" customFormat="false" ht="15" hidden="false" customHeight="false" outlineLevel="0" collapsed="false">
      <c r="B15" s="8" t="s">
        <v>652</v>
      </c>
      <c r="C15" s="8" t="s">
        <v>653</v>
      </c>
      <c r="D15" s="8" t="s">
        <v>654</v>
      </c>
      <c r="E15" s="77" t="s">
        <v>655</v>
      </c>
      <c r="F15" s="58" t="s">
        <v>656</v>
      </c>
    </row>
    <row r="16" customFormat="false" ht="15" hidden="false" customHeight="false" outlineLevel="0" collapsed="false">
      <c r="B16" s="8" t="s">
        <v>657</v>
      </c>
      <c r="C16" s="8" t="s">
        <v>658</v>
      </c>
      <c r="D16" s="8" t="s">
        <v>659</v>
      </c>
      <c r="E16" s="77" t="s">
        <v>660</v>
      </c>
      <c r="F16" s="58" t="s">
        <v>661</v>
      </c>
    </row>
    <row r="17" customFormat="false" ht="15" hidden="false" customHeight="false" outlineLevel="0" collapsed="false">
      <c r="B17" s="8" t="s">
        <v>662</v>
      </c>
      <c r="C17" s="8" t="s">
        <v>653</v>
      </c>
      <c r="D17" s="8" t="s">
        <v>663</v>
      </c>
      <c r="E17" s="77" t="s">
        <v>664</v>
      </c>
      <c r="F17" s="58" t="s">
        <v>661</v>
      </c>
    </row>
    <row r="18" customFormat="false" ht="23.85" hidden="false" customHeight="false" outlineLevel="0" collapsed="false">
      <c r="B18" s="8" t="s">
        <v>665</v>
      </c>
      <c r="C18" s="8" t="s">
        <v>666</v>
      </c>
      <c r="D18" s="8" t="s">
        <v>252</v>
      </c>
      <c r="E18" s="77" t="s">
        <v>667</v>
      </c>
      <c r="F18" s="58" t="s">
        <v>668</v>
      </c>
    </row>
    <row r="19" customFormat="false" ht="23.85" hidden="false" customHeight="false" outlineLevel="0" collapsed="false">
      <c r="B19" s="8" t="s">
        <v>669</v>
      </c>
      <c r="C19" s="8" t="s">
        <v>622</v>
      </c>
      <c r="D19" s="8" t="s">
        <v>670</v>
      </c>
      <c r="E19" s="77" t="s">
        <v>671</v>
      </c>
      <c r="F19" s="58" t="s">
        <v>672</v>
      </c>
    </row>
    <row r="20" customFormat="false" ht="15" hidden="false" customHeight="false" outlineLevel="0" collapsed="false">
      <c r="B20" s="8" t="s">
        <v>673</v>
      </c>
      <c r="C20" s="8" t="s">
        <v>610</v>
      </c>
      <c r="D20" s="8" t="s">
        <v>674</v>
      </c>
      <c r="E20" s="77" t="s">
        <v>675</v>
      </c>
      <c r="F20" s="58" t="s">
        <v>676</v>
      </c>
    </row>
    <row r="21" customFormat="false" ht="23.85" hidden="false" customHeight="false" outlineLevel="0" collapsed="false">
      <c r="B21" s="8" t="s">
        <v>677</v>
      </c>
      <c r="C21" s="8" t="s">
        <v>622</v>
      </c>
      <c r="D21" s="8" t="s">
        <v>678</v>
      </c>
      <c r="E21" s="77" t="s">
        <v>679</v>
      </c>
      <c r="F21" s="58" t="s">
        <v>620</v>
      </c>
    </row>
    <row r="22" customFormat="false" ht="15" hidden="false" customHeight="false" outlineLevel="0" collapsed="false">
      <c r="B22" s="8" t="s">
        <v>680</v>
      </c>
      <c r="C22" s="8" t="s">
        <v>681</v>
      </c>
      <c r="D22" s="8" t="s">
        <v>682</v>
      </c>
      <c r="E22" s="77" t="s">
        <v>683</v>
      </c>
      <c r="F22" s="58" t="s">
        <v>620</v>
      </c>
    </row>
    <row r="23" customFormat="false" ht="15" hidden="false" customHeight="false" outlineLevel="0" collapsed="false">
      <c r="B23" s="8" t="s">
        <v>684</v>
      </c>
      <c r="C23" s="8" t="s">
        <v>622</v>
      </c>
      <c r="D23" s="8" t="s">
        <v>685</v>
      </c>
      <c r="E23" s="77" t="s">
        <v>686</v>
      </c>
      <c r="F23" s="58" t="s">
        <v>620</v>
      </c>
    </row>
    <row r="24" customFormat="false" ht="15" hidden="false" customHeight="false" outlineLevel="0" collapsed="false">
      <c r="B24" s="8" t="s">
        <v>687</v>
      </c>
      <c r="C24" s="8" t="s">
        <v>622</v>
      </c>
      <c r="D24" s="8" t="s">
        <v>688</v>
      </c>
      <c r="E24" s="77" t="s">
        <v>689</v>
      </c>
      <c r="F24" s="58" t="s">
        <v>620</v>
      </c>
    </row>
    <row r="25" customFormat="false" ht="15" hidden="false" customHeight="false" outlineLevel="0" collapsed="false">
      <c r="B25" s="8" t="s">
        <v>690</v>
      </c>
      <c r="C25" s="8" t="s">
        <v>622</v>
      </c>
      <c r="D25" s="8" t="s">
        <v>691</v>
      </c>
      <c r="E25" s="77" t="s">
        <v>692</v>
      </c>
      <c r="F25" s="58" t="s">
        <v>620</v>
      </c>
    </row>
    <row r="26" customFormat="false" ht="15" hidden="false" customHeight="false" outlineLevel="0" collapsed="false">
      <c r="B26" s="8" t="s">
        <v>693</v>
      </c>
      <c r="C26" s="8" t="s">
        <v>694</v>
      </c>
      <c r="D26" s="8" t="s">
        <v>695</v>
      </c>
      <c r="E26" s="77" t="s">
        <v>696</v>
      </c>
      <c r="F26" s="58" t="s">
        <v>620</v>
      </c>
    </row>
    <row r="27" customFormat="false" ht="15" hidden="false" customHeight="false" outlineLevel="0" collapsed="false">
      <c r="B27" s="8" t="s">
        <v>697</v>
      </c>
      <c r="C27" s="8" t="s">
        <v>638</v>
      </c>
      <c r="D27" s="8" t="s">
        <v>698</v>
      </c>
      <c r="E27" s="77" t="s">
        <v>699</v>
      </c>
      <c r="F27" s="58" t="s">
        <v>620</v>
      </c>
    </row>
    <row r="28" customFormat="false" ht="15" hidden="false" customHeight="false" outlineLevel="0" collapsed="false">
      <c r="B28" s="8" t="s">
        <v>700</v>
      </c>
      <c r="C28" s="8" t="s">
        <v>701</v>
      </c>
      <c r="D28" s="8" t="s">
        <v>702</v>
      </c>
      <c r="E28" s="77" t="s">
        <v>703</v>
      </c>
      <c r="F28" s="58" t="s">
        <v>704</v>
      </c>
    </row>
    <row r="29" customFormat="false" ht="15" hidden="false" customHeight="false" outlineLevel="0" collapsed="false">
      <c r="B29" s="8" t="s">
        <v>705</v>
      </c>
      <c r="C29" s="8" t="s">
        <v>706</v>
      </c>
      <c r="D29" s="8" t="s">
        <v>707</v>
      </c>
      <c r="E29" s="77" t="s">
        <v>708</v>
      </c>
      <c r="F29" s="58" t="s">
        <v>709</v>
      </c>
    </row>
    <row r="30" customFormat="false" ht="15" hidden="false" customHeight="false" outlineLevel="0" collapsed="false">
      <c r="B30" s="8" t="s">
        <v>710</v>
      </c>
      <c r="C30" s="8" t="s">
        <v>711</v>
      </c>
      <c r="D30" s="8" t="s">
        <v>712</v>
      </c>
      <c r="E30" s="77" t="s">
        <v>713</v>
      </c>
      <c r="F30" s="58" t="s">
        <v>714</v>
      </c>
    </row>
    <row r="31" customFormat="false" ht="15" hidden="false" customHeight="false" outlineLevel="0" collapsed="false">
      <c r="B31" s="8" t="s">
        <v>715</v>
      </c>
      <c r="C31" s="8" t="s">
        <v>716</v>
      </c>
      <c r="D31" s="8" t="s">
        <v>717</v>
      </c>
      <c r="E31" s="77" t="s">
        <v>718</v>
      </c>
      <c r="F31" s="58" t="s">
        <v>661</v>
      </c>
    </row>
    <row r="32" customFormat="false" ht="15" hidden="false" customHeight="false" outlineLevel="0" collapsed="false">
      <c r="B32" s="8" t="s">
        <v>719</v>
      </c>
      <c r="C32" s="8" t="s">
        <v>716</v>
      </c>
      <c r="D32" s="8" t="s">
        <v>720</v>
      </c>
      <c r="E32" s="77" t="s">
        <v>721</v>
      </c>
      <c r="F32" s="58" t="s">
        <v>661</v>
      </c>
    </row>
    <row r="34" customFormat="false" ht="15" hidden="false" customHeight="false" outlineLevel="0" collapsed="false">
      <c r="B34" s="6" t="s">
        <v>722</v>
      </c>
      <c r="C34" s="7"/>
      <c r="D34" s="7"/>
      <c r="E34" s="7"/>
      <c r="F34" s="7"/>
    </row>
    <row r="35" customFormat="false" ht="15" hidden="false" customHeight="false" outlineLevel="0" collapsed="false">
      <c r="B35" s="10" t="s">
        <v>723</v>
      </c>
      <c r="D35" s="10" t="s">
        <v>724</v>
      </c>
      <c r="E35" s="78" t="s">
        <v>725</v>
      </c>
    </row>
    <row r="36" customFormat="false" ht="15" hidden="false" customHeight="false" outlineLevel="0" collapsed="false">
      <c r="B36" s="10" t="s">
        <v>726</v>
      </c>
      <c r="D36" s="10" t="s">
        <v>727</v>
      </c>
      <c r="E36" s="78" t="s">
        <v>728</v>
      </c>
    </row>
    <row r="37" customFormat="false" ht="15" hidden="false" customHeight="false" outlineLevel="0" collapsed="false">
      <c r="B37" s="10" t="s">
        <v>729</v>
      </c>
      <c r="D37" s="10" t="s">
        <v>730</v>
      </c>
      <c r="E37" s="78" t="s">
        <v>731</v>
      </c>
    </row>
    <row r="38" customFormat="false" ht="15" hidden="false" customHeight="false" outlineLevel="0" collapsed="false">
      <c r="B38" s="10" t="s">
        <v>732</v>
      </c>
      <c r="D38" s="10" t="s">
        <v>733</v>
      </c>
      <c r="E38" s="78" t="s">
        <v>734</v>
      </c>
    </row>
    <row r="39" customFormat="false" ht="15" hidden="false" customHeight="false" outlineLevel="0" collapsed="false">
      <c r="B39" s="10" t="s">
        <v>735</v>
      </c>
      <c r="D39" s="10" t="s">
        <v>736</v>
      </c>
      <c r="E39" s="78" t="s">
        <v>737</v>
      </c>
    </row>
    <row r="40" customFormat="false" ht="15" hidden="false" customHeight="false" outlineLevel="0" collapsed="false">
      <c r="B40" s="10" t="s">
        <v>738</v>
      </c>
      <c r="D40" s="10" t="s">
        <v>739</v>
      </c>
      <c r="E40" s="78" t="s">
        <v>740</v>
      </c>
    </row>
    <row r="41" customFormat="false" ht="15" hidden="false" customHeight="false" outlineLevel="0" collapsed="false">
      <c r="B41" s="10" t="s">
        <v>741</v>
      </c>
      <c r="D41" s="10" t="s">
        <v>742</v>
      </c>
      <c r="E41" s="78" t="s">
        <v>743</v>
      </c>
    </row>
    <row r="43" customFormat="false" ht="15" hidden="false" customHeight="false" outlineLevel="0" collapsed="false">
      <c r="B43" s="6" t="s">
        <v>744</v>
      </c>
      <c r="C43" s="7"/>
      <c r="D43" s="7"/>
      <c r="E43" s="7"/>
      <c r="F43" s="7"/>
    </row>
    <row r="44" customFormat="false" ht="42" hidden="false" customHeight="true" outlineLevel="0" collapsed="false">
      <c r="B44" s="79" t="s">
        <v>745</v>
      </c>
      <c r="C44" s="79"/>
      <c r="D44" s="79"/>
      <c r="E44" s="79"/>
      <c r="F44" s="79"/>
    </row>
    <row r="46" customFormat="false" ht="15" hidden="false" customHeight="false" outlineLevel="0" collapsed="false">
      <c r="B46" s="6" t="s">
        <v>746</v>
      </c>
      <c r="C46" s="7"/>
      <c r="D46" s="7"/>
      <c r="E46" s="7"/>
      <c r="F46" s="7"/>
    </row>
    <row r="47" customFormat="false" ht="27.75" hidden="false" customHeight="true" outlineLevel="0" collapsed="false">
      <c r="B47" s="79" t="s">
        <v>747</v>
      </c>
      <c r="C47" s="79"/>
      <c r="D47" s="79"/>
      <c r="E47" s="79"/>
      <c r="F47" s="79"/>
    </row>
    <row r="48" customFormat="false" ht="27.75" hidden="false" customHeight="true" outlineLevel="0" collapsed="false">
      <c r="B48" s="79" t="s">
        <v>748</v>
      </c>
      <c r="C48" s="79"/>
      <c r="D48" s="79"/>
      <c r="E48" s="79"/>
      <c r="F48" s="79"/>
    </row>
    <row r="49" customFormat="false" ht="27.75" hidden="false" customHeight="true" outlineLevel="0" collapsed="false">
      <c r="B49" s="79" t="s">
        <v>749</v>
      </c>
      <c r="C49" s="79"/>
      <c r="D49" s="79"/>
      <c r="E49" s="79"/>
      <c r="F49" s="79"/>
    </row>
    <row r="50" customFormat="false" ht="27.75" hidden="false" customHeight="true" outlineLevel="0" collapsed="false">
      <c r="B50" s="79" t="s">
        <v>750</v>
      </c>
      <c r="C50" s="79"/>
      <c r="D50" s="79"/>
      <c r="E50" s="79"/>
      <c r="F50" s="79"/>
    </row>
    <row r="51" customFormat="false" ht="27.75" hidden="false" customHeight="true" outlineLevel="0" collapsed="false">
      <c r="B51" s="79" t="s">
        <v>751</v>
      </c>
      <c r="C51" s="79"/>
      <c r="D51" s="79"/>
      <c r="E51" s="79"/>
      <c r="F51" s="79"/>
    </row>
    <row r="52" customFormat="false" ht="27.75" hidden="false" customHeight="true" outlineLevel="0" collapsed="false">
      <c r="B52" s="79" t="s">
        <v>752</v>
      </c>
      <c r="C52" s="79"/>
      <c r="D52" s="79"/>
      <c r="E52" s="79"/>
      <c r="F52" s="79"/>
    </row>
    <row r="53" customFormat="false" ht="27.75" hidden="false" customHeight="true" outlineLevel="0" collapsed="false">
      <c r="B53" s="79" t="s">
        <v>753</v>
      </c>
      <c r="C53" s="79"/>
      <c r="D53" s="79"/>
      <c r="E53" s="79"/>
      <c r="F53" s="79"/>
    </row>
    <row r="54" customFormat="false" ht="27.75" hidden="false" customHeight="true" outlineLevel="0" collapsed="false">
      <c r="B54" s="79" t="s">
        <v>754</v>
      </c>
      <c r="C54" s="79"/>
      <c r="D54" s="79"/>
      <c r="E54" s="79"/>
      <c r="F54" s="79"/>
    </row>
    <row r="55" customFormat="false" ht="27.75" hidden="false" customHeight="true" outlineLevel="0" collapsed="false">
      <c r="B55" s="79" t="s">
        <v>755</v>
      </c>
      <c r="C55" s="79"/>
      <c r="D55" s="79"/>
      <c r="E55" s="79"/>
      <c r="F55" s="79"/>
    </row>
    <row r="56" customFormat="false" ht="27.75" hidden="false" customHeight="true" outlineLevel="0" collapsed="false">
      <c r="B56" s="79" t="s">
        <v>756</v>
      </c>
      <c r="C56" s="79"/>
      <c r="D56" s="79"/>
      <c r="E56" s="79"/>
      <c r="F56" s="79"/>
    </row>
    <row r="57" customFormat="false" ht="27.75" hidden="false" customHeight="true" outlineLevel="0" collapsed="false">
      <c r="B57" s="79" t="s">
        <v>757</v>
      </c>
      <c r="C57" s="79"/>
      <c r="D57" s="79"/>
      <c r="E57" s="79"/>
      <c r="F57" s="79"/>
    </row>
  </sheetData>
  <mergeCells count="12">
    <mergeCell ref="B44:F44"/>
    <mergeCell ref="B47:F47"/>
    <mergeCell ref="B48:F48"/>
    <mergeCell ref="B49:F49"/>
    <mergeCell ref="B50:F50"/>
    <mergeCell ref="B51:F51"/>
    <mergeCell ref="B52:F52"/>
    <mergeCell ref="B53:F53"/>
    <mergeCell ref="B54:F54"/>
    <mergeCell ref="B55:F55"/>
    <mergeCell ref="B56:F56"/>
    <mergeCell ref="B57:F57"/>
  </mergeCells>
  <hyperlinks>
    <hyperlink ref="E5" r:id="rId1" display="https://www.ecfr.gov/current/title-49/section-360.3T"/>
    <hyperlink ref="E6" r:id="rId2" display="https://www.ecfr.gov/current/title-49/section-360.3T"/>
    <hyperlink ref="E7" r:id="rId3" display="https://www.ecfr.gov/current/title-49/section-390.19T"/>
    <hyperlink ref="E8" r:id="rId4" display="https://www.ecfr.gov/current/title-49/section-390.5T"/>
    <hyperlink ref="E9" r:id="rId5" display="https://www.federalregister.gov/documents/2026/04/29/2026-08334/availability-of-motus-fmcsas-new-registration-system"/>
    <hyperlink ref="E10" r:id="rId6" display="https://www.ecfr.gov/current/title-49/section-366.2T"/>
    <hyperlink ref="E11" r:id="rId7" display="https://www.ecfr.gov/current/title-49/section-387.7"/>
    <hyperlink ref="E12" r:id="rId8" display="https://www.ecfr.gov/current/title-49/section-387.9"/>
    <hyperlink ref="E13" r:id="rId9" display="https://www.ecfr.gov/current/title-49/section-387.303T"/>
    <hyperlink ref="E14" r:id="rId10" display="https://www.ecfr.gov/current/title-49/subtitle-B/chapter-III/subchapter-B/part-367"/>
    <hyperlink ref="E15" r:id="rId11" display="https://www.federalregister.gov/documents/2026/09/01/2026-17893/fees-for-the-unified-carrier-registration-plan-and-agreement"/>
    <hyperlink ref="E16" r:id="rId12" display="https://www.law.cornell.edu/uscode/text/49/31701"/>
    <hyperlink ref="E17" r:id="rId13" display="https://www.law.cornell.edu/uscode/text/49/31705"/>
    <hyperlink ref="E18" r:id="rId14" display="https://www.irs.gov/pub/irs-pdf/f2290.pdf"/>
    <hyperlink ref="E19" r:id="rId15" display="https://www.irs.gov/pub/irs-pdf/i2290.pdf"/>
    <hyperlink ref="E20" r:id="rId16" display="https://www.irs.gov/forms-pubs/about-form-2290"/>
    <hyperlink ref="E21" r:id="rId17" display="https://www.ecfr.gov/current/title-49/section-382.103"/>
    <hyperlink ref="E22" r:id="rId18" display="https://www.ecfr.gov/current/title-49/section-382.701"/>
    <hyperlink ref="E23" r:id="rId19" display="https://www.ecfr.gov/current/title-49/section-383.91"/>
    <hyperlink ref="E24" r:id="rId20" display="https://www.ecfr.gov/current/title-49/section-391.41"/>
    <hyperlink ref="E25" r:id="rId21" display="https://www.ecfr.gov/current/title-49/section-395.8"/>
    <hyperlink ref="E26" r:id="rId22" display="https://www.ecfr.gov/current/title-49/section-395.3"/>
    <hyperlink ref="E27" r:id="rId23" display="https://www.ecfr.gov/current/title-49/section-385.307"/>
    <hyperlink ref="E28" r:id="rId24" display="https://www.irs.gov/taxtopics/tc751"/>
    <hyperlink ref="E29" r:id="rId25" display="https://www.irs.gov/businesses/small-businesses-self-employed/self-employment-tax-social-security-and-medicare-taxes"/>
    <hyperlink ref="E30" r:id="rId26" display="https://www.irs.gov/publications/p946"/>
    <hyperlink ref="E31" r:id="rId27" display="https://www.sba.gov/funding-programs/loans/7a-loans"/>
    <hyperlink ref="E32" r:id="rId28" display="https://www.sba.gov/business-guide/plan-your-business/write-your-business-plan"/>
    <hyperlink ref="E35" r:id="rId29" display="https://www.eia.gov/petroleum/gasdiesel/"/>
    <hyperlink ref="E36" r:id="rId30" display="https://truckingresearch.org/about-atri/atri-research/operational-costs-of-trucking/"/>
    <hyperlink ref="E37" r:id="rId31" display="https://www.fmcsa.dot.gov/registration"/>
    <hyperlink ref="E38" r:id="rId32" display="https://www.ucr.gov"/>
    <hyperlink ref="E39" r:id="rId33" display="https://www.irponline.org"/>
    <hyperlink ref="E40" r:id="rId34" display="https://www.iftach.org"/>
    <hyperlink ref="E41" r:id="rId35" display="https://clearinghouse.fmcsa.dot.gov"/>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sheetPr>
    <tabColor rgb="FFC05A00"/>
    <pageSetUpPr fitToPage="true"/>
  </sheetPr>
  <dimension ref="B2:B11"/>
  <sheetViews>
    <sheetView showGridLines="false" tabSelected="true" zoomScale="100" workbookViewId="0">
      <selection activeCell="B2" sqref="B2"/>
    </sheetView>
  </sheetViews>
  <sheetFormatPr defaultRowHeight="15"/>
  <cols>
    <col min="1" max="1" width="3" customWidth="true"/>
    <col min="2" max="2" width="95" customWidth="true"/>
  </cols>
  <sheetData>
    <row r="2" customHeight="true" ht="24">
      <c r="B2" s="80" t="inlineStr">
        <is>
          <t>Free sample template: please read first</t>
        </is>
      </c>
    </row>
    <row r="4" customHeight="true" ht="36">
      <c r="B4" s="81" t="inlineStr">
        <is>
          <r>
            <rPr>
              <sz val="11"/>
              <rFont val="Arial"/>
              <family val="2"/>
            </rPr>
            <t>Thanks for downloading this free template from Let's Talk Business Plans. It is a sample to help you get started, not finished advice.</t>
          </r>
        </is>
      </c>
    </row>
    <row r="6" customHeight="true" ht="51">
      <c r="B6" s="81" t="inlineStr">
        <is>
          <r>
            <rPr>
              <b val="true"/>
              <sz val="11"/>
              <rFont val="Arial"/>
              <family val="2"/>
            </rPr>
            <t>•  Check everything.</t>
          </r>
          <r>
            <rPr>
              <sz val="11"/>
              <rFont val="Arial"/>
              <family val="2"/>
            </rPr>
            <t xml:space="preserve"> All numbers, rules, rates, fees and other information in this template are examples. Verify each one against current official sources and your own quotes before you rely on it or share it with a lender, investor or agency.</t>
          </r>
        </is>
      </c>
    </row>
    <row r="7" customHeight="true" ht="66">
      <c r="B7" s="81" t="inlineStr">
        <is>
          <r>
            <rPr>
              <b val="true"/>
              <sz val="11"/>
              <rFont val="Arial"/>
              <family val="2"/>
            </rPr>
            <t>•  No guarantee.</t>
          </r>
          <r>
            <rPr>
              <sz val="11"/>
              <rFont val="Arial"/>
              <family val="2"/>
            </rPr>
            <t xml:space="preserve"> The template is provided "as is", without any warranty of any kind, express or implied, including accuracy, completeness or fitness for a particular purpose. Let's Talk Business Plans is not liable for any loss or decision that results from using it. You use it at your own risk.</t>
          </r>
        </is>
      </c>
    </row>
    <row r="8" customHeight="true" ht="21">
      <c r="B8" s="81" t="inlineStr">
        <is>
          <r>
            <rPr>
              <b val="true"/>
              <sz val="11"/>
              <rFont val="Arial"/>
              <family val="2"/>
            </rPr>
            <t>•  No support.</t>
          </r>
          <r>
            <rPr>
              <sz val="11"/>
              <rFont val="Arial"/>
              <family val="2"/>
            </rPr>
            <t xml:space="preserve"> We can't provide help or support for this free template.</t>
          </r>
        </is>
      </c>
    </row>
    <row r="9" customHeight="true" ht="36">
      <c r="B9" s="81" t="inlineStr">
        <is>
          <r>
            <rPr>
              <b val="true"/>
              <sz val="11"/>
              <rFont val="Arial"/>
              <family val="2"/>
            </rPr>
            <t>•  Not professional advice.</t>
          </r>
          <r>
            <rPr>
              <sz val="11"/>
              <rFont val="Arial"/>
              <family val="2"/>
            </rPr>
            <t xml:space="preserve"> It is not legal, tax, accounting or financial advice. For that, talk to a qualified professional.</t>
          </r>
        </is>
      </c>
    </row>
    <row r="11" customHeight="true" ht="21">
      <c r="B11" s="81" t="inlineStr">
        <is>
          <r>
            <rPr>
              <sz val="11"/>
              <rFont val="Arial"/>
              <family val="2"/>
            </rPr>
            <t>By using this template you accept these terms. Good luck with your plan!</t>
          </r>
        </is>
      </c>
    </row>
  </sheetData>
  <pageMargins left="0.75" right="0.75" top="1" bottom="1" header="0.5" footer="0.5"/>
  <pageSetup paperSize="1" fitToWidth="1" fitToHeight="0" orientation="portrait"/>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2026-10-14T16:11:47Z</dcterms:created>
  <dc:creator>Let's Talk Business Plans</dc:creator>
  <dc:description/>
  <dc:language>en-US</dc:language>
  <cp:lastModifiedBy>Let's Talk Business Plans</cp:lastModifiedBy>
  <dcterms:modified xsi:type="dcterms:W3CDTF">2026-10-14T16:11:47Z</dcterms:modified>
  <cp:revision>0</cp:revision>
  <dc:subject/>
  <dc:title>Trucking Financial Model</dc:title>
</cp:coreProperties>
</file>

<file path=docProps/custom.xml><?xml version="1.0" encoding="utf-8"?>
<Properties xmlns="http://schemas.openxmlformats.org/officeDocument/2006/custom-properties" xmlns:vt="http://schemas.openxmlformats.org/officeDocument/2006/docPropsVTypes"/>
</file>