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Assumptions" sheetId="2" state="visible" r:id="rId4"/>
    <sheet name="Revenue" sheetId="3" state="visible" r:id="rId5"/>
    <sheet name="COGS" sheetId="4" state="visible" r:id="rId6"/>
    <sheet name="Labor" sheetId="5" state="visible" r:id="rId7"/>
    <sheet name="OpEx" sheetId="6" state="visible" r:id="rId8"/>
    <sheet name="P&amp;L" sheetId="7" state="visible" r:id="rId9"/>
    <sheet name="Cash Flow" sheetId="8" state="visible" r:id="rId10"/>
    <sheet name="Break-Even" sheetId="9" state="visible" r:id="rId11"/>
    <sheet name="Startup &amp; Funding" sheetId="10" state="visible" r:id="rId12"/>
    <sheet name="Loan" sheetId="11" state="visible" r:id="rId13"/>
    <sheet name="Key Ratios" sheetId="12" state="visible" r:id="rId14"/>
    <sheet name="Sources &amp; Notes" sheetId="13" state="visible" r:id="rId15"/>
  </sheets>
  <definedNames>
    <definedName function="false" hidden="false" localSheetId="7" name="_xlnm.Print_Titles" vbProcedure="false">'Cash Flow'!$A:$B</definedName>
    <definedName function="false" hidden="false" localSheetId="3" name="_xlnm.Print_Titles" vbProcedure="false">COGS!$A:$B</definedName>
    <definedName function="false" hidden="false" localSheetId="4" name="_xlnm.Print_Titles" vbProcedure="false">Labor!$A:$B</definedName>
    <definedName function="false" hidden="false" localSheetId="5" name="_xlnm.Print_Titles" vbProcedure="false">OpEx!$A:$B</definedName>
    <definedName function="false" hidden="false" localSheetId="6" name="_xlnm.Print_Titles" vbProcedure="false">'P&amp;L'!$A:$B</definedName>
    <definedName function="false" hidden="false" localSheetId="2" name="_xlnm.Print_Titles" vbProcedure="false">Revenue!$A:$B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<sst xmlns="http://schemas.openxmlformats.org/spreadsheetml/2006/main" count="714" uniqueCount="452">
  <si>
    <t xml:space="preserve">Restaurant Financial Model — 3-year monthly projection</t>
  </si>
  <si>
    <t xml:space="preserve">From Let's Talk Business Plans (letstalkbusinessplans.com). Free to use for your own restaurant plan or loan request.</t>
  </si>
  <si>
    <t xml:space="preserve">Worked example</t>
  </si>
  <si>
    <t xml:space="preserve">The numbers already in this file are example inputs for a hypothetical 60-seat casual restaurant. They are not industry averages and not a real business. Example — replace with your numbers.</t>
  </si>
  <si>
    <t xml:space="preserve">How to use it</t>
  </si>
  <si>
    <t xml:space="preserve">Step 1</t>
  </si>
  <si>
    <t xml:space="preserve">Open the Assumptions tab. Change only the yellow cells with blue text. Work top to bottom.</t>
  </si>
  <si>
    <t xml:space="preserve">Step 2</t>
  </si>
  <si>
    <t xml:space="preserve">Enter your seats, days open, seat turns and average check for each daypart. Turns × seats = covers per day.</t>
  </si>
  <si>
    <t xml:space="preserve">Step 3</t>
  </si>
  <si>
    <t xml:space="preserve">Set food and beverage cost %, staff hours and wages, rent and your other monthly costs from real quotes and your lease.</t>
  </si>
  <si>
    <t xml:space="preserve">Step 4</t>
  </si>
  <si>
    <t xml:space="preserve">Enter every startup cost and how you will pay for it (loan, owner equity, investors).</t>
  </si>
  <si>
    <t xml:space="preserve">Step 5</t>
  </si>
  <si>
    <t xml:space="preserve">Check Startup &amp; Funding: sources must cover uses. Then read P&amp;L, Cash Flow, Break-Even and Key Ratios.</t>
  </si>
  <si>
    <t xml:space="preserve">Step 6</t>
  </si>
  <si>
    <t xml:space="preserve">Look at the lowest month-end cash on Key Ratios. If it goes below zero, raise more working capital.</t>
  </si>
  <si>
    <t xml:space="preserve">Step 7</t>
  </si>
  <si>
    <t xml:space="preserve">Test 'what if': lower turns or raise food cost and watch break-even and cash move.</t>
  </si>
  <si>
    <t xml:space="preserve">Colour key</t>
  </si>
  <si>
    <t xml:space="preserve">1,000</t>
  </si>
  <si>
    <t xml:space="preserve">Input — yours to change (Assumptions tab only)</t>
  </si>
  <si>
    <t xml:space="preserve">Formula — calculated, do not type over</t>
  </si>
  <si>
    <t xml:space="preserve">Formula that links to another tab</t>
  </si>
  <si>
    <t xml:space="preserve">Tabs</t>
  </si>
  <si>
    <t xml:space="preserve">Assumptions</t>
  </si>
  <si>
    <t xml:space="preserve">Every input: seats, turns, checks, menu mix, costs, labor, rent, startup costs, financing.</t>
  </si>
  <si>
    <t xml:space="preserve">Revenue</t>
  </si>
  <si>
    <t xml:space="preserve">36 months of covers and sales by daypart, with ramp-up, seasonality and growth; annual totals at right.</t>
  </si>
  <si>
    <t xml:space="preserve">COGS</t>
  </si>
  <si>
    <t xml:space="preserve">Food and beverage cost.</t>
  </si>
  <si>
    <t xml:space="preserve">Labor</t>
  </si>
  <si>
    <t xml:space="preserve">FOH and BOH hours and wages, salaried managers, payroll taxes and burden.</t>
  </si>
  <si>
    <t xml:space="preserve">OpEx</t>
  </si>
  <si>
    <t xml:space="preserve">Occupancy and other operating expenses.</t>
  </si>
  <si>
    <t xml:space="preserve">P&amp;L</t>
  </si>
  <si>
    <t xml:space="preserve">Monthly and annual profit and loss with prime cost and margins.</t>
  </si>
  <si>
    <t xml:space="preserve">Cash Flow</t>
  </si>
  <si>
    <t xml:space="preserve">Monthly cash, starting from opening-day cash; warns when cash runs low.</t>
  </si>
  <si>
    <t xml:space="preserve">Break-Even</t>
  </si>
  <si>
    <t xml:space="preserve">Covers per day and sales needed to break even, on a profit basis and a cash basis.</t>
  </si>
  <si>
    <t xml:space="preserve">Startup &amp; Funding</t>
  </si>
  <si>
    <t xml:space="preserve">Sources and uses of funds; flags a funding gap.</t>
  </si>
  <si>
    <t xml:space="preserve">Loan</t>
  </si>
  <si>
    <t xml:space="preserve">Amortization schedule: payment, interest, principal, balance.</t>
  </si>
  <si>
    <t xml:space="preserve">Key Ratios</t>
  </si>
  <si>
    <t xml:space="preserve">Prime cost %, occupancy %, labor %, DSCR, cash low point, plus automatic model checks.</t>
  </si>
  <si>
    <t xml:space="preserve">Sources &amp; Notes</t>
  </si>
  <si>
    <t xml:space="preserve">Where the one published rate comes from, where to research your own numbers, and known limitations.</t>
  </si>
  <si>
    <t xml:space="preserve">Example results (live)</t>
  </si>
  <si>
    <t xml:space="preserve">Year 1 sales</t>
  </si>
  <si>
    <t xml:space="preserve">Year 1 net income</t>
  </si>
  <si>
    <t xml:space="preserve">Year 1 prime cost %</t>
  </si>
  <si>
    <t xml:space="preserve">Year 1 DSCR</t>
  </si>
  <si>
    <t xml:space="preserve">Break-even covers/day</t>
  </si>
  <si>
    <t xml:space="preserve">Important</t>
  </si>
  <si>
    <t xml:space="preserve">A planning tool, not tax, legal or lending advice. Results are only as good as the inputs. Built for Microsoft Excel (.xlsx). Uses only standard functions; not yet tested in Google Sheets or other spreadsheet apps.</t>
  </si>
  <si>
    <t xml:space="preserve">Assumptions — the only tab you need to edit</t>
  </si>
  <si>
    <t xml:space="preserve">Yellow cells with blue text are inputs. Every other tab is calculated from them. Values shown are a worked example for a hypothetical 60-seat casual restaurant.</t>
  </si>
  <si>
    <t xml:space="preserve">Input</t>
  </si>
  <si>
    <t xml:space="preserve">means an input cell</t>
  </si>
  <si>
    <t xml:space="preserve">1. General</t>
  </si>
  <si>
    <t xml:space="preserve">Value</t>
  </si>
  <si>
    <t xml:space="preserve">Unit</t>
  </si>
  <si>
    <t xml:space="preserve">Note / source</t>
  </si>
  <si>
    <t xml:space="preserve">Restaurant name</t>
  </si>
  <si>
    <t xml:space="preserve">Example inputs (hypothetical 60-seat casual restaurant)</t>
  </si>
  <si>
    <t xml:space="preserve">Example — replace with your numbers</t>
  </si>
  <si>
    <t xml:space="preserve">First month of operations (opening month)</t>
  </si>
  <si>
    <t xml:space="preserve">date</t>
  </si>
  <si>
    <t xml:space="preserve">Enter the 1st of the opening month. Example — replace with your numbers</t>
  </si>
  <si>
    <t xml:space="preserve">Seats (dining room + bar)</t>
  </si>
  <si>
    <t xml:space="preserve">seats</t>
  </si>
  <si>
    <t xml:space="preserve">Days open per week</t>
  </si>
  <si>
    <t xml:space="preserve">days</t>
  </si>
  <si>
    <t xml:space="preserve">Example — replace with your numbers (example is closed Mondays)</t>
  </si>
  <si>
    <t xml:space="preserve">2. Covers and average check by daypart (at full volume)</t>
  </si>
  <si>
    <t xml:space="preserve">Lunch — seat turns per open day</t>
  </si>
  <si>
    <t xml:space="preserve">turns</t>
  </si>
  <si>
    <t xml:space="preserve">Lunch — average check per cover (food + beverage)</t>
  </si>
  <si>
    <t xml:space="preserve">$/cover</t>
  </si>
  <si>
    <t xml:space="preserve">Dinner — seat turns per open day</t>
  </si>
  <si>
    <t xml:space="preserve">Dinner — average check per cover (food + beverage)</t>
  </si>
  <si>
    <t xml:space="preserve">Other daypart (brunch / happy hour) — seat turns per open day</t>
  </si>
  <si>
    <t xml:space="preserve">Other daypart — average check per cover</t>
  </si>
  <si>
    <t xml:space="preserve">Takeout / off-premise sales, as % of dine-in sales</t>
  </si>
  <si>
    <t xml:space="preserve">%</t>
  </si>
  <si>
    <t xml:space="preserve">Customer-count growth — Year 2 vs Year 1</t>
  </si>
  <si>
    <t xml:space="preserve">Customer-count growth — Year 3 vs Year 2</t>
  </si>
  <si>
    <t xml:space="preserve">Menu price increase — Year 2</t>
  </si>
  <si>
    <t xml:space="preserve">Menu price increase — Year 3</t>
  </si>
  <si>
    <t xml:space="preserve">Food share of sales (beverage = the rest)</t>
  </si>
  <si>
    <t xml:space="preserve">3. Opening ramp-up (% of stabilized volume in first six months)</t>
  </si>
  <si>
    <t xml:space="preserve">Month 1 after opening</t>
  </si>
  <si>
    <t xml:space="preserve">Month 2 after opening</t>
  </si>
  <si>
    <t xml:space="preserve">Month 3 after opening</t>
  </si>
  <si>
    <t xml:space="preserve">Month 4 after opening</t>
  </si>
  <si>
    <t xml:space="preserve">Month 5 after opening</t>
  </si>
  <si>
    <t xml:space="preserve">Month 6 after opening</t>
  </si>
  <si>
    <t xml:space="preserve">Month 7 onward runs at 100% of stabilized volume.</t>
  </si>
  <si>
    <t xml:space="preserve">4. Seasonality (volume index by calendar month; 100% = average month)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</si>
  <si>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</si>
  <si>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</si>
  <si>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</si>
  <si>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</si>
  <si>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</si>
  <si>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</si>
  <si>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</si>
  <si>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</si>
  <si>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</si>
  <si>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</si>
  <si>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</si>
  <si>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</si>
  <si>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Average of the 12 months (keep near 100%)</t>
  </si>
  <si>
    <t xml:space="preserve">If this is far from 100%, seasonality is raising or lowering your annual total.</t>
  </si>
  <si>
    <t xml:space="preserve">5. Cost of goods sold</t>
  </si>
  <si>
    <t xml:space="preserve">Food cost, % of food sales</t>
  </si>
  <si>
    <t xml:space="preserve">Beverage cost, % of beverage sales</t>
  </si>
  <si>
    <t xml:space="preserve">6. Labor</t>
  </si>
  <si>
    <t xml:space="preserve">Front of house (FOH) — average hourly wage paid by you (excl. tips)</t>
  </si>
  <si>
    <t xml:space="preserve">$/hour</t>
  </si>
  <si>
    <t xml:space="preserve">Example — replace with your numbers. Tipped cash wages differ by state: see Sources &amp; Notes (U.S. Dept. of Labor).</t>
  </si>
  <si>
    <t xml:space="preserve">FOH — total staff hours per open day</t>
  </si>
  <si>
    <t xml:space="preserve">hours/day</t>
  </si>
  <si>
    <t xml:space="preserve">Back of house (BOH) — average hourly wage</t>
  </si>
  <si>
    <t xml:space="preserve">Example — replace with your numbers. Check local wages: see Sources &amp; Notes (BLS OEWS).</t>
  </si>
  <si>
    <t xml:space="preserve">BOH — total staff hours per open day</t>
  </si>
  <si>
    <t xml:space="preserve">Salaried management (e.g. general manager + chef), total per year</t>
  </si>
  <si>
    <t xml:space="preserve">$/year</t>
  </si>
  <si>
    <t xml:space="preserve">Annual wage increase (applied in Years 2 and 3)</t>
  </si>
  <si>
    <t xml:space="preserve">Employer Social Security + Medicare (FICA) tax</t>
  </si>
  <si>
    <t xml:space="preserve">% of wages</t>
  </si>
  <si>
    <t xml:space="preserve">Federal rate: 6.2% Social Security + 1.45% Medicare (IRS Topic 751). See Sources &amp; Notes.</t>
  </si>
  <si>
    <t xml:space="preserve">Other payroll costs: state unemployment, workers' comp, benefits</t>
  </si>
  <si>
    <t xml:space="preserve">Example — replace with your numbers. Varies by state, insurer and benefits offered — get quotes.</t>
  </si>
  <si>
    <t xml:space="preserve">7. Occupancy and operating expenses</t>
  </si>
  <si>
    <t xml:space="preserve">Base rent per month (Year 1)</t>
  </si>
  <si>
    <t xml:space="preserve">$/month</t>
  </si>
  <si>
    <t xml:space="preserve">CAM / property tax / landlord charges (NNN) per month</t>
  </si>
  <si>
    <t xml:space="preserve">Annual rent escalation (Years 2 and 3)</t>
  </si>
  <si>
    <t xml:space="preserve">Example — replace with your numbers. Use the figure in your lease.</t>
  </si>
  <si>
    <t xml:space="preserve">Utilities (power, gas, water, trash) per month</t>
  </si>
  <si>
    <t xml:space="preserve">Marketing, % of sales</t>
  </si>
  <si>
    <t xml:space="preserve">Card processing and third-party delivery fees, % of sales</t>
  </si>
  <si>
    <t xml:space="preserve">Repairs and maintenance, % of sales</t>
  </si>
  <si>
    <t xml:space="preserve">Supplies (paper, cleaning, smallwares), % of sales</t>
  </si>
  <si>
    <t xml:space="preserve">Insurance (liability, property, liquor) per month</t>
  </si>
  <si>
    <t xml:space="preserve">Technology / POS / software subscriptions per month</t>
  </si>
  <si>
    <t xml:space="preserve">Accounting, legal and payroll service per month</t>
  </si>
  <si>
    <t xml:space="preserve">Licenses and permits (ongoing) per month</t>
  </si>
  <si>
    <t xml:space="preserve">Other operating expenses per month</t>
  </si>
  <si>
    <t xml:space="preserve">Annual increase in fixed monthly expenses (Years 2 and 3)</t>
  </si>
  <si>
    <t xml:space="preserve">8. Startup costs (uses of funds)</t>
  </si>
  <si>
    <t xml:space="preserve">Build-out / leasehold improvements</t>
  </si>
  <si>
    <t xml:space="preserve">$</t>
  </si>
  <si>
    <t xml:space="preserve">Kitchen equipment</t>
  </si>
  <si>
    <t xml:space="preserve">Furniture, fixtures, signage and decor</t>
  </si>
  <si>
    <t xml:space="preserve">POS and technology hardware</t>
  </si>
  <si>
    <t xml:space="preserve">Opening inventory (food, beverage, supplies)</t>
  </si>
  <si>
    <t xml:space="preserve">Deposits (rent, utilities)</t>
  </si>
  <si>
    <t xml:space="preserve">Licenses and permits (including liquor license)</t>
  </si>
  <si>
    <t xml:space="preserve">Pre-opening payroll and training</t>
  </si>
  <si>
    <t xml:space="preserve">Pre-opening marketing</t>
  </si>
  <si>
    <t xml:space="preserve">Professional fees (legal, accounting, design)</t>
  </si>
  <si>
    <t xml:space="preserve">Contingency (unplanned build-out overruns)</t>
  </si>
  <si>
    <t xml:space="preserve">Working capital reserve (cash on hand at opening)</t>
  </si>
  <si>
    <t xml:space="preserve">Low-cash warning level — % of working capital reserve</t>
  </si>
  <si>
    <t xml:space="preserve">Example — replace with your numbers. Set your own cushion: Cash Flow flags a month LOW when ending cash falls below this share of the reserve.</t>
  </si>
  <si>
    <t xml:space="preserve">Depreciation life — build-out and contingency</t>
  </si>
  <si>
    <t xml:space="preserve">years</t>
  </si>
  <si>
    <t xml:space="preserve">Example — replace with your numbers. Straight-line, for planning only; tax depreciation rules differ — ask your accountant.</t>
  </si>
  <si>
    <t xml:space="preserve">Depreciation life — equipment, furniture, POS</t>
  </si>
  <si>
    <t xml:space="preserve">Example — replace with your numbers. Same note as above.</t>
  </si>
  <si>
    <t xml:space="preserve">9. Financing (sources of funds)</t>
  </si>
  <si>
    <t xml:space="preserve">Bank / SBA loan amount</t>
  </si>
  <si>
    <t xml:space="preserve">Example — replace with your numbers. SBA 7(a) terms and maximum rates: see Sources &amp; Notes.</t>
  </si>
  <si>
    <t xml:space="preserve">Loan interest rate (annual)</t>
  </si>
  <si>
    <t xml:space="preserve">Example — replace with your numbers. Use your lender's quote.</t>
  </si>
  <si>
    <t xml:space="preserve">Loan term</t>
  </si>
  <si>
    <t xml:space="preserve">Example — replace with your numbers. Payments start in the opening month.</t>
  </si>
  <si>
    <t xml:space="preserve">Owner equity (cash invested by owners)</t>
  </si>
  <si>
    <t xml:space="preserve">Other investor equity</t>
  </si>
  <si>
    <t xml:space="preserve">Owner distributions per month (cash taken out)</t>
  </si>
  <si>
    <t xml:space="preserve">Example — replace with your numbers. Owner salaries for working owners belong in salaried management above.</t>
  </si>
  <si>
    <t xml:space="preserve">Income tax rate on profit (enter 0% if taxed personally as a pass-through)</t>
  </si>
  <si>
    <t xml:space="preserve">Example uses 0%. Ask your accountant; applied to positive monthly pre-tax profit only.</t>
  </si>
  <si>
    <t xml:space="preserve">10. Helper values (calculated — do not edit)</t>
  </si>
  <si>
    <t xml:space="preserve">Average open days per month</t>
  </si>
  <si>
    <t xml:space="preserve">Days per week × 52 ÷ 12</t>
  </si>
  <si>
    <t xml:space="preserve">Total seat turns per open day</t>
  </si>
  <si>
    <t xml:space="preserve">Sum of the three dayparts</t>
  </si>
  <si>
    <t xml:space="preserve">Weighted average dine-in check per cover</t>
  </si>
  <si>
    <t xml:space="preserve">Weighted by turns</t>
  </si>
  <si>
    <t xml:space="preserve">Blended cost of goods, % of total sales</t>
  </si>
  <si>
    <t xml:space="preserve">Food share × food cost + beverage share × beverage cost</t>
  </si>
  <si>
    <t xml:space="preserve">Variable operating expenses, % of sales</t>
  </si>
  <si>
    <t xml:space="preserve">Marketing + card fees + repairs + supplies</t>
  </si>
  <si>
    <t xml:space="preserve">Total startup costs</t>
  </si>
  <si>
    <t xml:space="preserve">Monthly depreciation</t>
  </si>
  <si>
    <t xml:space="preserve">Straight-line; assumed constant over the 3 years</t>
  </si>
  <si>
    <t xml:space="preserve">Revenue — 36 months, rolled up to 3 years</t>
  </si>
  <si>
    <t xml:space="preserve">Covers = seats × seat turns × open days × ramp-up × seasonality × growth. Sales = covers × average check × price factor.</t>
  </si>
  <si>
    <t xml:space="preserve">Month #</t>
  </si>
  <si>
    <t xml:space="preserve">Annual</t>
  </si>
  <si>
    <t xml:space="preserve">Year</t>
  </si>
  <si>
    <t xml:space="preserve">Month</t>
  </si>
  <si>
    <t xml:space="preserve">Year 1</t>
  </si>
  <si>
    <t xml:space="preserve">Year 2</t>
  </si>
  <si>
    <t xml:space="preserve">Year 3</t>
  </si>
  <si>
    <t xml:space="preserve">Volume drivers</t>
  </si>
  <si>
    <t xml:space="preserve">Open days in month</t>
  </si>
  <si>
    <t xml:space="preserve">Ramp-up factor</t>
  </si>
  <si>
    <t xml:space="preserve">Seasonality factor</t>
  </si>
  <si>
    <t xml:space="preserve">Customer-count growth factor</t>
  </si>
  <si>
    <t xml:space="preserve">Menu price factor</t>
  </si>
  <si>
    <t xml:space="preserve">Covers (guests served)</t>
  </si>
  <si>
    <t xml:space="preserve">Lunch covers</t>
  </si>
  <si>
    <t xml:space="preserve">covers</t>
  </si>
  <si>
    <t xml:space="preserve">Dinner covers</t>
  </si>
  <si>
    <t xml:space="preserve">Other daypart covers</t>
  </si>
  <si>
    <t xml:space="preserve">Total dine-in covers</t>
  </si>
  <si>
    <t xml:space="preserve">Average covers per open day</t>
  </si>
  <si>
    <t xml:space="preserve">Sales</t>
  </si>
  <si>
    <t xml:space="preserve">Lunch sales</t>
  </si>
  <si>
    <t xml:space="preserve">Dinner sales</t>
  </si>
  <si>
    <t xml:space="preserve">Other daypart sales</t>
  </si>
  <si>
    <t xml:space="preserve">Dine-in sales</t>
  </si>
  <si>
    <t xml:space="preserve">Takeout / off-premise sales</t>
  </si>
  <si>
    <t xml:space="preserve">TOTAL SALES</t>
  </si>
  <si>
    <t xml:space="preserve">Food sales</t>
  </si>
  <si>
    <t xml:space="preserve">Beverage sales</t>
  </si>
  <si>
    <t xml:space="preserve">Average dine-in check (after price increases)</t>
  </si>
  <si>
    <t xml:space="preserve">Cost of goods sold</t>
  </si>
  <si>
    <t xml:space="preserve">Food and beverage cost as a % of the matching sales line (Assumptions section 5).</t>
  </si>
  <si>
    <t xml:space="preserve">Food cost</t>
  </si>
  <si>
    <t xml:space="preserve">Beverage cost</t>
  </si>
  <si>
    <t xml:space="preserve">TOTAL COST OF GOODS SOLD</t>
  </si>
  <si>
    <t xml:space="preserve">COGS % of total sales</t>
  </si>
  <si>
    <t xml:space="preserve">Hourly staff = hours per open day × open days × wage. Wages rise each year by the wage increase. Payroll taxes and burden added on top.</t>
  </si>
  <si>
    <t xml:space="preserve">Wage factor (annual increases)</t>
  </si>
  <si>
    <t xml:space="preserve">FOH hours</t>
  </si>
  <si>
    <t xml:space="preserve">hours</t>
  </si>
  <si>
    <t xml:space="preserve">FOH wages</t>
  </si>
  <si>
    <t xml:space="preserve">BOH hours</t>
  </si>
  <si>
    <t xml:space="preserve">BOH wages</t>
  </si>
  <si>
    <t xml:space="preserve">Salaried management</t>
  </si>
  <si>
    <t xml:space="preserve">Total wages and salaries</t>
  </si>
  <si>
    <t xml:space="preserve">Employer FICA (Social Security + Medicare)</t>
  </si>
  <si>
    <t xml:space="preserve">Other payroll costs (unemployment, workers' comp, benefits)</t>
  </si>
  <si>
    <t xml:space="preserve">TOTAL LABOR COST</t>
  </si>
  <si>
    <t xml:space="preserve">Labor % of total sales</t>
  </si>
  <si>
    <t xml:space="preserve">Operating expenses</t>
  </si>
  <si>
    <t xml:space="preserve">Fixed monthly costs rise each year by the escalators in Assumptions section 7; variable costs follow sales.</t>
  </si>
  <si>
    <t xml:space="preserve">Total sales (for % based costs)</t>
  </si>
  <si>
    <t xml:space="preserve">Rent escalation factor</t>
  </si>
  <si>
    <t xml:space="preserve">Fixed-cost inflation factor</t>
  </si>
  <si>
    <t xml:space="preserve">Occupancy</t>
  </si>
  <si>
    <t xml:space="preserve">Base rent</t>
  </si>
  <si>
    <t xml:space="preserve">CAM / property tax / landlord charges</t>
  </si>
  <si>
    <t xml:space="preserve">Total occupancy</t>
  </si>
  <si>
    <t xml:space="preserve">Other operating expenses</t>
  </si>
  <si>
    <t xml:space="preserve">Utilities</t>
  </si>
  <si>
    <t xml:space="preserve">Marketing</t>
  </si>
  <si>
    <t xml:space="preserve">Card processing and delivery fees</t>
  </si>
  <si>
    <t xml:space="preserve">Repairs and maintenance</t>
  </si>
  <si>
    <t xml:space="preserve">Supplies</t>
  </si>
  <si>
    <t xml:space="preserve">Insurance</t>
  </si>
  <si>
    <t xml:space="preserve">Technology / POS / software</t>
  </si>
  <si>
    <t xml:space="preserve">Accounting, legal, payroll service</t>
  </si>
  <si>
    <t xml:space="preserve">Licenses and permits</t>
  </si>
  <si>
    <t xml:space="preserve">Total other operating expenses</t>
  </si>
  <si>
    <t xml:space="preserve">TOTAL OPERATING EXPENSES (occupancy + other)</t>
  </si>
  <si>
    <t xml:space="preserve">Occupancy % of sales</t>
  </si>
  <si>
    <t xml:space="preserve">Profit &amp; loss</t>
  </si>
  <si>
    <t xml:space="preserve">Every line links to the Revenue, COGS, Labor, OpEx and Loan tabs.</t>
  </si>
  <si>
    <t xml:space="preserve">GROSS PROFIT</t>
  </si>
  <si>
    <t xml:space="preserve">Labor (wages, salaries, payroll taxes and burden)</t>
  </si>
  <si>
    <t xml:space="preserve">Prime cost (COGS + labor)</t>
  </si>
  <si>
    <t xml:space="preserve">Occupancy (rent + CAM)</t>
  </si>
  <si>
    <t xml:space="preserve">EBITDA (operating profit before interest, taxes, depreciation)</t>
  </si>
  <si>
    <t xml:space="preserve">Depreciation</t>
  </si>
  <si>
    <t xml:space="preserve">Loan interest</t>
  </si>
  <si>
    <t xml:space="preserve">PROFIT BEFORE TAX</t>
  </si>
  <si>
    <t xml:space="preserve">Income tax</t>
  </si>
  <si>
    <t xml:space="preserve">NET INCOME</t>
  </si>
  <si>
    <t xml:space="preserve">% of total sales</t>
  </si>
  <si>
    <t xml:space="preserve">COGS %</t>
  </si>
  <si>
    <t xml:space="preserve">Labor %</t>
  </si>
  <si>
    <t xml:space="preserve">Prime cost %</t>
  </si>
  <si>
    <t xml:space="preserve">Occupancy %</t>
  </si>
  <si>
    <t xml:space="preserve">EBITDA margin</t>
  </si>
  <si>
    <t xml:space="preserve">Net margin</t>
  </si>
  <si>
    <t xml:space="preserve">Cash flow</t>
  </si>
  <si>
    <t xml:space="preserve">Starts with opening-day cash from Startup &amp; Funding. Watch the lowest month-end balance.</t>
  </si>
  <si>
    <t xml:space="preserve">Net income</t>
  </si>
  <si>
    <t xml:space="preserve">Add back depreciation (non-cash)</t>
  </si>
  <si>
    <t xml:space="preserve">Cash from operations</t>
  </si>
  <si>
    <t xml:space="preserve">Loan principal repaid</t>
  </si>
  <si>
    <t xml:space="preserve">Owner distributions</t>
  </si>
  <si>
    <t xml:space="preserve">NET CHANGE IN CASH</t>
  </si>
  <si>
    <t xml:space="preserve">Beginning cash</t>
  </si>
  <si>
    <t xml:space="preserve">ENDING CASH</t>
  </si>
  <si>
    <t xml:space="preserve">Cash warning</t>
  </si>
  <si>
    <t xml:space="preserve">Loan balance (end of month)</t>
  </si>
  <si>
    <t xml:space="preserve">Break-even — covers and sales per day</t>
  </si>
  <si>
    <t xml:space="preserve">Year 1 cost levels at full (stabilized) volume, no ramp-up or seasonality. Variable costs move with sales; the rest are treated as fixed.</t>
  </si>
  <si>
    <t xml:space="preserve">Contribution margin</t>
  </si>
  <si>
    <t xml:space="preserve">Blended cost of goods, % of sales</t>
  </si>
  <si>
    <t xml:space="preserve">From Assumptions section 10</t>
  </si>
  <si>
    <t xml:space="preserve">Marketing, card fees, repairs, supplies</t>
  </si>
  <si>
    <t xml:space="preserve">Contribution margin (what each sales dollar keeps)</t>
  </si>
  <si>
    <t xml:space="preserve">Fixed costs per month (Year 1)</t>
  </si>
  <si>
    <t xml:space="preserve">Hourly labor incl. payroll taxes and burden</t>
  </si>
  <si>
    <t xml:space="preserve">Staff hours are scheduled per open day, so they do not fall when sales do</t>
  </si>
  <si>
    <t xml:space="preserve">Salaried management incl. payroll taxes and burden</t>
  </si>
  <si>
    <t xml:space="preserve">Utilities, insurance, technology, professional, licenses, other</t>
  </si>
  <si>
    <t xml:space="preserve">Operating fixed costs (cash)</t>
  </si>
  <si>
    <t xml:space="preserve">Average monthly loan interest, Year 1</t>
  </si>
  <si>
    <t xml:space="preserve">Monthly loan payment (interest + principal)</t>
  </si>
  <si>
    <t xml:space="preserve">Owner distributions per month</t>
  </si>
  <si>
    <t xml:space="preserve">Break-even point</t>
  </si>
  <si>
    <t xml:space="preserve">Profit basis</t>
  </si>
  <si>
    <t xml:space="preserve">Cash basis</t>
  </si>
  <si>
    <t xml:space="preserve">Profit basis: net profit = 0. Cash basis: covers loan payments and owner draws (ignores depreciation).</t>
  </si>
  <si>
    <t xml:space="preserve">Break-even sales per month</t>
  </si>
  <si>
    <t xml:space="preserve">Break-even sales per year</t>
  </si>
  <si>
    <t xml:space="preserve">Break-even sales per open day</t>
  </si>
  <si>
    <t xml:space="preserve">Sales per dine-in cover (average check incl. takeout uplift)</t>
  </si>
  <si>
    <t xml:space="preserve">Break-even covers per open day</t>
  </si>
  <si>
    <t xml:space="preserve">Break-even seat turns per open day</t>
  </si>
  <si>
    <t xml:space="preserve">Compared with your plan (stabilized, Year 1)</t>
  </si>
  <si>
    <t xml:space="preserve">Planned covers per open day</t>
  </si>
  <si>
    <t xml:space="preserve">Planned sales per open day</t>
  </si>
  <si>
    <t xml:space="preserve">Margin of safety (how far sales can fall before break-even)</t>
  </si>
  <si>
    <t xml:space="preserve">A negative margin of safety means the plan does not break even at full volume.</t>
  </si>
  <si>
    <t xml:space="preserve">Startup costs and funding — sources and uses</t>
  </si>
  <si>
    <t xml:space="preserve">Uses come from Assumptions section 8; sources from section 9. Sources must cover uses before you open.</t>
  </si>
  <si>
    <t xml:space="preserve">USES OF FUNDS</t>
  </si>
  <si>
    <t xml:space="preserve">Amount</t>
  </si>
  <si>
    <t xml:space="preserve">% of total</t>
  </si>
  <si>
    <t xml:space="preserve">Opening inventory</t>
  </si>
  <si>
    <t xml:space="preserve">Deposits</t>
  </si>
  <si>
    <t xml:space="preserve">Professional fees</t>
  </si>
  <si>
    <t xml:space="preserve">Contingency</t>
  </si>
  <si>
    <t xml:space="preserve">Working capital reserve</t>
  </si>
  <si>
    <t xml:space="preserve">TOTAL USES</t>
  </si>
  <si>
    <t xml:space="preserve">SOURCES OF FUNDS</t>
  </si>
  <si>
    <t xml:space="preserve">Bank / SBA loan</t>
  </si>
  <si>
    <t xml:space="preserve">Owner equity</t>
  </si>
  <si>
    <t xml:space="preserve">TOTAL SOURCES</t>
  </si>
  <si>
    <t xml:space="preserve">Surplus / (shortfall): sources minus uses</t>
  </si>
  <si>
    <t xml:space="preserve">Cash on hand at opening (working capital reserve + surplus/shortfall)</t>
  </si>
  <si>
    <t xml:space="preserve">Funding ratios</t>
  </si>
  <si>
    <t xml:space="preserve">Equity injection (owner + investor equity) as % of total uses</t>
  </si>
  <si>
    <t xml:space="preserve">Debt as % of total uses</t>
  </si>
  <si>
    <t xml:space="preserve">Confirm the equity injection your lender or loan program requires before finalizing.</t>
  </si>
  <si>
    <t xml:space="preserve">Accounting treatment in this model</t>
  </si>
  <si>
    <t xml:space="preserve">• Build-out, contingency, equipment, furniture and POS are depreciated straight-line (Assumptions section 8).</t>
  </si>
  <si>
    <t xml:space="preserve">• Pre-opening payroll, marketing, licenses and professional fees are spent before opening and are not in the 36-month P&amp;L.</t>
  </si>
  <si>
    <t xml:space="preserve">• Opening inventory and deposits are assumed to stay on hand (inventory is replaced as it is used; deposits are not refunded within 3 years).</t>
  </si>
  <si>
    <t xml:space="preserve">• Working capital reserve is the cash in the bank on opening day.</t>
  </si>
  <si>
    <t xml:space="preserve">Loan amortization</t>
  </si>
  <si>
    <t xml:space="preserve">Fixed-rate loan, level monthly payments starting in the opening month. Driven by Assumptions section 9.</t>
  </si>
  <si>
    <t xml:space="preserve">Loan amount</t>
  </si>
  <si>
    <t xml:space="preserve">Year 1 debt service</t>
  </si>
  <si>
    <t xml:space="preserve">Annual rate</t>
  </si>
  <si>
    <t xml:space="preserve">Year 2 debt service</t>
  </si>
  <si>
    <t xml:space="preserve">Term (months)</t>
  </si>
  <si>
    <t xml:space="preserve">Year 3 debt service</t>
  </si>
  <si>
    <t xml:space="preserve">Monthly payment</t>
  </si>
  <si>
    <t xml:space="preserve">Balance after Year 3</t>
  </si>
  <si>
    <t xml:space="preserve">Total interest over life</t>
  </si>
  <si>
    <t xml:space="preserve">Rows beyond the loan term show zero. Schedule covers up to 30 years.</t>
  </si>
  <si>
    <t xml:space="preserve">Beginning balance</t>
  </si>
  <si>
    <t xml:space="preserve">Payment</t>
  </si>
  <si>
    <t xml:space="preserve">Interest</t>
  </si>
  <si>
    <t xml:space="preserve">Principal</t>
  </si>
  <si>
    <t xml:space="preserve">Ending balance</t>
  </si>
  <si>
    <t xml:space="preserve">Key ratios — check these before you talk to a lender or investor</t>
  </si>
  <si>
    <t xml:space="preserve">Calculated from the annual columns of the P&amp;L, Cash Flow and Loan tabs. No benchmarks are built in: compare with your lender's requirements and your own research.</t>
  </si>
  <si>
    <t xml:space="preserve">Measure</t>
  </si>
  <si>
    <t xml:space="preserve">How it is calculated / what it tells you</t>
  </si>
  <si>
    <t xml:space="preserve">Total sales</t>
  </si>
  <si>
    <t xml:space="preserve">P&amp;L total sales</t>
  </si>
  <si>
    <t xml:space="preserve">Sales per seat</t>
  </si>
  <si>
    <t xml:space="preserve">Annual sales ÷ seats</t>
  </si>
  <si>
    <t xml:space="preserve">Dine-in covers ÷ open days</t>
  </si>
  <si>
    <t xml:space="preserve">Average dine-in check</t>
  </si>
  <si>
    <t xml:space="preserve">Dine-in sales ÷ dine-in covers</t>
  </si>
  <si>
    <t xml:space="preserve">Food + beverage cost ÷ sales</t>
  </si>
  <si>
    <t xml:space="preserve">All wages, salaries, payroll taxes and burden ÷ sales</t>
  </si>
  <si>
    <t xml:space="preserve">(COGS + labor) ÷ sales — the two costs an operator controls most</t>
  </si>
  <si>
    <t xml:space="preserve">(Rent + CAM) ÷ sales</t>
  </si>
  <si>
    <t xml:space="preserve">EBITDA</t>
  </si>
  <si>
    <t xml:space="preserve">Operating profit before interest, taxes, depreciation</t>
  </si>
  <si>
    <t xml:space="preserve">EBITDA ÷ sales</t>
  </si>
  <si>
    <t xml:space="preserve">Bottom line of the P&amp;L</t>
  </si>
  <si>
    <t xml:space="preserve">Net income ÷ sales</t>
  </si>
  <si>
    <t xml:space="preserve">Annual debt service (loan payments)</t>
  </si>
  <si>
    <t xml:space="preserve">Interest + principal paid in the year</t>
  </si>
  <si>
    <t xml:space="preserve">Debt service coverage ratio (DSCR)</t>
  </si>
  <si>
    <t xml:space="preserve">(EBITDA − income tax) ÷ annual debt service. If you pay yourself through distributions instead of salary, enter that pay under salaried management, or use the after-distributions row below.</t>
  </si>
  <si>
    <t xml:space="preserve">DSCR after owner distributions</t>
  </si>
  <si>
    <t xml:space="preserve">(EBITDA − income tax − owner distributions) ÷ annual debt service. Owner distributions come from Assumptions section 9.</t>
  </si>
  <si>
    <t xml:space="preserve">Ending cash</t>
  </si>
  <si>
    <t xml:space="preserve">Cash at the end of the year</t>
  </si>
  <si>
    <t xml:space="preserve">Lowest month-end cash in the year</t>
  </si>
  <si>
    <t xml:space="preserve">If this goes below zero you need more working capital or financing</t>
  </si>
  <si>
    <t xml:space="preserve">Months with a cash warning</t>
  </si>
  <si>
    <t xml:space="preserve">Months flagged SHORT (below zero) or LOW (below the low-cash warning level on Assumptions section 8)</t>
  </si>
  <si>
    <t xml:space="preserve">Model checks</t>
  </si>
  <si>
    <t xml:space="preserve">Funding: sources cover uses</t>
  </si>
  <si>
    <t xml:space="preserve">Loan schedule repaid by end of term</t>
  </si>
  <si>
    <t xml:space="preserve">P&amp;L sales equal Revenue tab sales (3 years)</t>
  </si>
  <si>
    <t xml:space="preserve">Cash reconciliation, Year 1</t>
  </si>
  <si>
    <t xml:space="preserve">Opening cash + net income + depreciation − loan principal − owner draws, recomputed from P&amp;L, Loan and Assumptions, must equal Cash Flow ending cash</t>
  </si>
  <si>
    <t xml:space="preserve">Cash reconciliation, Years 1–3</t>
  </si>
  <si>
    <t xml:space="preserve">Same test over all 36 months</t>
  </si>
  <si>
    <t xml:space="preserve">Each check shows OK when the two sides agree within $1.</t>
  </si>
  <si>
    <t xml:space="preserve">Sources and notes</t>
  </si>
  <si>
    <t xml:space="preserve">Only one number in this model is a published rate (employer FICA). Every other value is an example for a hypothetical restaurant and must be replaced with your own quotes, lease terms and research.</t>
  </si>
  <si>
    <t xml:space="preserve">Topic</t>
  </si>
  <si>
    <t xml:space="preserve">What it is used for in this model</t>
  </si>
  <si>
    <t xml:space="preserve">Source (open and check the current figure)</t>
  </si>
  <si>
    <t xml:space="preserve">Employer FICA 7.65%</t>
  </si>
  <si>
    <t xml:space="preserve">Default in Assumptions section 6: 6.2% Social Security + 1.45% Medicare paid by the employer. Social Security stops above the annual wage base; this model applies 7.65% to all wages (small overstatement for very high salaries).</t>
  </si>
  <si>
    <t xml:space="preserve">IRS, Topic no. 751, Social Security and Medicare withholding rates — https://www.irs.gov/taxtopics/tc751</t>
  </si>
  <si>
    <t xml:space="preserve">Tipped employee wages</t>
  </si>
  <si>
    <t xml:space="preserve">No number used. Check the minimum cash wage and tip credit for your state before setting the FOH wage.</t>
  </si>
  <si>
    <t xml:space="preserve">U.S. Department of Labor, Wage and Hour Division, Minimum Wages for Tipped Employees — https://www.dol.gov/agencies/whd/state/minimum-wage/tipped</t>
  </si>
  <si>
    <t xml:space="preserve">Local wage rates</t>
  </si>
  <si>
    <t xml:space="preserve">No number used. Look up wages for waiters and waitresses (SOC 35-3031) and restaurant cooks (SOC 35-2014) in your metro area.</t>
  </si>
  <si>
    <t xml:space="preserve">U.S. Bureau of Labor Statistics, Occupational Employment and Wage Statistics — https://www.bls.gov/oes/</t>
  </si>
  <si>
    <t xml:space="preserve">SBA 7(a) loans</t>
  </si>
  <si>
    <t xml:space="preserve">No number used. Loan amount, rate and term are examples. Check current SBA 7(a) loan terms at sba.gov and with your lender.</t>
  </si>
  <si>
    <t xml:space="preserve">U.S. Small Business Administration, 7(a) loans — https://www.sba.gov/funding-programs/loans/7a-loans</t>
  </si>
  <si>
    <t xml:space="preserve">FICA on tips / FICA tip credit</t>
  </si>
  <si>
    <t xml:space="preserve">No number used. Listed under Known limitations: employer FICA on reported tips is not modeled; the credit may offset part of it.</t>
  </si>
  <si>
    <t xml:space="preserve">IRS, FICA Tip Credit for employers — https://www.irs.gov/businesses/small-businesses-self-employed/fica-tip-credit-for-employers</t>
  </si>
  <si>
    <t xml:space="preserve">Industry operating data</t>
  </si>
  <si>
    <t xml:space="preserve">No number used. The National Restaurant Association publishes operating benchmarks you can compare your plan against.</t>
  </si>
  <si>
    <t xml:space="preserve">National Restaurant Association, Research Reports — https://restaurant.org/research-and-media/research/research-reports/</t>
  </si>
  <si>
    <t xml:space="preserve">Known limitations</t>
  </si>
  <si>
    <t xml:space="preserve">• IMPORTANT: Pre-opening costs (pre-opening payroll and training, pre-opening marketing, opening licenses and permits, professional fees) are counted in Startup &amp; Funding uses of funds, not in the P&amp;L. The 36-month P&amp;L starts on opening day.</t>
  </si>
  <si>
    <t xml:space="preserve">• Employer Social Security and Medicare tax on tips that employees report is not modeled; FICA is applied to wages only. Food and beverage employers may be able to claim the FICA tip credit (IRS Form 8846) for part of that tax. Ask your accountant.</t>
  </si>
  <si>
    <t xml:space="preserve">• Hourly labor is scheduled per open day, so it does not flex with sales during ramp-up or slow months. Adjust hours if you will staff lighter.</t>
  </si>
  <si>
    <t xml:space="preserve">• Income tax is a flat % of each month's positive pre-tax profit; losses are not carried forward. Your accountant should set this.</t>
  </si>
  <si>
    <t xml:space="preserve">• No balance sheet. Inventory is held constant after opening; there are no receivables or payables timing differences, so cash follows profit in the same month.</t>
  </si>
  <si>
    <t xml:space="preserve">• Depreciation is straight-line for planning. Tax depreciation (bonus depreciation, Section 179) can be very different.</t>
  </si>
  <si>
    <t xml:space="preserve">• The loan is fixed-rate with level payments from the opening month. Interest-only periods, variable rates and fees are not modeled.</t>
  </si>
  <si>
    <t xml:space="preserve">• Social Security wage-base cap and the Additional Medicare Tax are not modeled.</t>
  </si>
  <si>
    <t xml:space="preserve">• This is a planning tool, not tax, legal or lending advice. A lender may ask for statements in its own format.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</si>
</sst>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\$#,##0;&quot;($&quot;#,##0\);\-"/>
    <numFmt numFmtId="166" formatCode="0.0%;\(0.0%\);\-"/>
    <numFmt numFmtId="167" formatCode="0.00\x;\(0.00&quot;x)&quot;;\-"/>
    <numFmt numFmtId="168" formatCode="#,##0.0;\(#,##0.0\);\-"/>
    <numFmt numFmtId="169" formatCode="@"/>
    <numFmt numFmtId="170" formatCode="mmm\ yyyy"/>
    <numFmt numFmtId="171" formatCode="#,##0;\(#,##0\);\-"/>
    <numFmt numFmtId="172" formatCode="0.00"/>
    <numFmt numFmtId="173" formatCode="\$#,##0.00;&quot;($&quot;#,##0.00\);\-"/>
    <numFmt numFmtId="174" formatCode="0.00%"/>
    <numFmt numFmtId="175" formatCode="mmm\ yy"/>
    <numFmt numFmtId="176" formatCode="0.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F99"/>
        <bgColor rgb="FFF2F2F2"/>
      </patternFill>
    </fill>
    <fill>
      <patternFill patternType="solid">
        <fgColor rgb="FFDCE6F1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99999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5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555555"/>
      <rgbColor rgb="FF999999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B1:C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00"/>
  </cols>
  <sheetData>
    <row r="1" customFormat="false" ht="17.3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30" hidden="false" customHeight="true" outlineLevel="0" collapsed="false">
      <c r="B4" s="3" t="s">
        <v>2</v>
      </c>
      <c r="C4" s="4" t="s">
        <v>3</v>
      </c>
    </row>
    <row r="6" customFormat="false" ht="15" hidden="false" customHeight="false" outlineLevel="0" collapsed="false">
      <c r="B6" s="5" t="s">
        <v>4</v>
      </c>
      <c r="C6" s="6"/>
    </row>
    <row r="7" customFormat="false" ht="15" hidden="false" customHeight="false" outlineLevel="0" collapsed="false">
      <c r="B7" s="3" t="s">
        <v>5</v>
      </c>
      <c r="C7" s="7" t="s">
        <v>6</v>
      </c>
    </row>
    <row r="8" customFormat="false" ht="15" hidden="false" customHeight="false" outlineLevel="0" collapsed="false">
      <c r="B8" s="3" t="s">
        <v>7</v>
      </c>
      <c r="C8" s="7" t="s">
        <v>8</v>
      </c>
    </row>
    <row r="9" customFormat="false" ht="15" hidden="false" customHeight="false" outlineLevel="0" collapsed="false">
      <c r="B9" s="3" t="s">
        <v>9</v>
      </c>
      <c r="C9" s="7" t="s">
        <v>10</v>
      </c>
    </row>
    <row r="10" customFormat="false" ht="15" hidden="false" customHeight="false" outlineLevel="0" collapsed="false">
      <c r="B10" s="3" t="s">
        <v>11</v>
      </c>
      <c r="C10" s="7" t="s">
        <v>12</v>
      </c>
    </row>
    <row r="11" customFormat="false" ht="15" hidden="false" customHeight="false" outlineLevel="0" collapsed="false">
      <c r="B11" s="3" t="s">
        <v>13</v>
      </c>
      <c r="C11" s="7" t="s">
        <v>14</v>
      </c>
    </row>
    <row r="12" customFormat="false" ht="15" hidden="false" customHeight="false" outlineLevel="0" collapsed="false">
      <c r="B12" s="3" t="s">
        <v>15</v>
      </c>
      <c r="C12" s="7" t="s">
        <v>16</v>
      </c>
    </row>
    <row r="13" customFormat="false" ht="15" hidden="false" customHeight="false" outlineLevel="0" collapsed="false">
      <c r="B13" s="3" t="s">
        <v>17</v>
      </c>
      <c r="C13" s="7" t="s">
        <v>18</v>
      </c>
    </row>
    <row r="15" customFormat="false" ht="15" hidden="false" customHeight="false" outlineLevel="0" collapsed="false">
      <c r="B15" s="5" t="s">
        <v>19</v>
      </c>
      <c r="C15" s="6"/>
    </row>
    <row r="16" customFormat="false" ht="15" hidden="false" customHeight="false" outlineLevel="0" collapsed="false">
      <c r="B16" s="8" t="s">
        <v>20</v>
      </c>
      <c r="C16" s="7" t="s">
        <v>21</v>
      </c>
    </row>
    <row r="17" customFormat="false" ht="15" hidden="false" customHeight="false" outlineLevel="0" collapsed="false">
      <c r="B17" s="7" t="s">
        <v>20</v>
      </c>
      <c r="C17" s="7" t="s">
        <v>22</v>
      </c>
    </row>
    <row r="18" customFormat="false" ht="15" hidden="false" customHeight="false" outlineLevel="0" collapsed="false">
      <c r="B18" s="9" t="s">
        <v>20</v>
      </c>
      <c r="C18" s="7" t="s">
        <v>23</v>
      </c>
    </row>
    <row r="20" customFormat="false" ht="15" hidden="false" customHeight="false" outlineLevel="0" collapsed="false">
      <c r="B20" s="5" t="s">
        <v>24</v>
      </c>
      <c r="C20" s="6"/>
    </row>
    <row r="21" customFormat="false" ht="15" hidden="false" customHeight="false" outlineLevel="0" collapsed="false">
      <c r="B21" s="3" t="s">
        <v>25</v>
      </c>
      <c r="C21" s="7" t="s">
        <v>26</v>
      </c>
    </row>
    <row r="22" customFormat="false" ht="15" hidden="false" customHeight="false" outlineLevel="0" collapsed="false">
      <c r="B22" s="3" t="s">
        <v>27</v>
      </c>
      <c r="C22" s="7" t="s">
        <v>28</v>
      </c>
    </row>
    <row r="23" customFormat="false" ht="15" hidden="false" customHeight="false" outlineLevel="0" collapsed="false">
      <c r="B23" s="3" t="s">
        <v>29</v>
      </c>
      <c r="C23" s="7" t="s">
        <v>30</v>
      </c>
    </row>
    <row r="24" customFormat="false" ht="15" hidden="false" customHeight="false" outlineLevel="0" collapsed="false">
      <c r="B24" s="3" t="s">
        <v>31</v>
      </c>
      <c r="C24" s="7" t="s">
        <v>32</v>
      </c>
    </row>
    <row r="25" customFormat="false" ht="15" hidden="false" customHeight="false" outlineLevel="0" collapsed="false">
      <c r="B25" s="3" t="s">
        <v>33</v>
      </c>
      <c r="C25" s="7" t="s">
        <v>34</v>
      </c>
    </row>
    <row r="26" customFormat="false" ht="15" hidden="false" customHeight="false" outlineLevel="0" collapsed="false">
      <c r="B26" s="3" t="s">
        <v>35</v>
      </c>
      <c r="C26" s="7" t="s">
        <v>36</v>
      </c>
    </row>
    <row r="27" customFormat="false" ht="15" hidden="false" customHeight="false" outlineLevel="0" collapsed="false">
      <c r="B27" s="3" t="s">
        <v>37</v>
      </c>
      <c r="C27" s="7" t="s">
        <v>38</v>
      </c>
    </row>
    <row r="28" customFormat="false" ht="15" hidden="false" customHeight="false" outlineLevel="0" collapsed="false">
      <c r="B28" s="3" t="s">
        <v>39</v>
      </c>
      <c r="C28" s="7" t="s">
        <v>40</v>
      </c>
    </row>
    <row r="29" customFormat="false" ht="15" hidden="false" customHeight="false" outlineLevel="0" collapsed="false">
      <c r="B29" s="3" t="s">
        <v>41</v>
      </c>
      <c r="C29" s="7" t="s">
        <v>42</v>
      </c>
    </row>
    <row r="30" customFormat="false" ht="15" hidden="false" customHeight="false" outlineLevel="0" collapsed="false">
      <c r="B30" s="3" t="s">
        <v>43</v>
      </c>
      <c r="C30" s="7" t="s">
        <v>44</v>
      </c>
    </row>
    <row r="31" customFormat="false" ht="15" hidden="false" customHeight="false" outlineLevel="0" collapsed="false">
      <c r="B31" s="3" t="s">
        <v>45</v>
      </c>
      <c r="C31" s="7" t="s">
        <v>46</v>
      </c>
    </row>
    <row r="32" customFormat="false" ht="15" hidden="false" customHeight="false" outlineLevel="0" collapsed="false">
      <c r="B32" s="3" t="s">
        <v>47</v>
      </c>
      <c r="C32" s="7" t="s">
        <v>48</v>
      </c>
    </row>
    <row r="34" customFormat="false" ht="15" hidden="false" customHeight="false" outlineLevel="0" collapsed="false">
      <c r="B34" s="5" t="s">
        <v>49</v>
      </c>
      <c r="C34" s="6"/>
    </row>
    <row r="35" customFormat="false" ht="15" hidden="false" customHeight="false" outlineLevel="0" collapsed="false">
      <c r="B35" s="3" t="s">
        <v>50</v>
      </c>
      <c r="C35" s="10" t="n">
        <f aca="false">'P&amp;L'!AM9</f>
        <v>1367824.4496</v>
      </c>
    </row>
    <row r="36" customFormat="false" ht="15" hidden="false" customHeight="false" outlineLevel="0" collapsed="false">
      <c r="B36" s="3" t="s">
        <v>51</v>
      </c>
      <c r="C36" s="10" t="n">
        <f aca="false">'P&amp;L'!AM21</f>
        <v>-20926.0751616895</v>
      </c>
    </row>
    <row r="37" customFormat="false" ht="15" hidden="false" customHeight="false" outlineLevel="0" collapsed="false">
      <c r="B37" s="3" t="s">
        <v>52</v>
      </c>
      <c r="C37" s="11" t="n">
        <f aca="false">'P&amp;L'!AM26</f>
        <v>0.695416934210398</v>
      </c>
    </row>
    <row r="38" customFormat="false" ht="15" hidden="false" customHeight="false" outlineLevel="0" collapsed="false">
      <c r="B38" s="3" t="s">
        <v>53</v>
      </c>
      <c r="C38" s="12" t="n">
        <f aca="false">'Key Ratios'!$C$18</f>
        <v>1.24062806496699</v>
      </c>
    </row>
    <row r="39" customFormat="false" ht="15" hidden="false" customHeight="false" outlineLevel="0" collapsed="false">
      <c r="B39" s="3" t="s">
        <v>54</v>
      </c>
      <c r="C39" s="13" t="n">
        <f aca="false">'Break-Even'!$C$26</f>
        <v>148.929638799252</v>
      </c>
    </row>
    <row r="41" customFormat="false" ht="30" hidden="false" customHeight="true" outlineLevel="0" collapsed="false">
      <c r="B41" s="3" t="s">
        <v>55</v>
      </c>
      <c r="C41" s="14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B1:E1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70"/>
  </cols>
  <sheetData>
    <row r="1" customFormat="false" ht="17.35" hidden="false" customHeight="false" outlineLevel="0" collapsed="false">
      <c r="B1" s="1" t="s">
        <v>57</v>
      </c>
    </row>
    <row r="2" customFormat="false" ht="15" hidden="false" customHeight="false" outlineLevel="0" collapsed="false">
      <c r="B2" s="2" t="s">
        <v>58</v>
      </c>
    </row>
    <row r="3" customFormat="false" ht="15" hidden="false" customHeight="false" outlineLevel="0" collapsed="false">
      <c r="B3" s="8" t="s">
        <v>59</v>
      </c>
      <c r="C3" s="2" t="s">
        <v>60</v>
      </c>
    </row>
    <row r="5" customFormat="false" ht="15" hidden="false" customHeight="false" outlineLevel="0" collapsed="false">
      <c r="B5" s="5" t="s">
        <v>61</v>
      </c>
      <c r="C5" s="5" t="s">
        <v>62</v>
      </c>
      <c r="D5" s="5" t="s">
        <v>63</v>
      </c>
      <c r="E5" s="5" t="s">
        <v>64</v>
      </c>
    </row>
    <row r="6" customFormat="false" ht="15" hidden="false" customHeight="false" outlineLevel="0" collapsed="false">
      <c r="B6" s="7" t="s">
        <v>65</v>
      </c>
      <c r="C6" s="15" t="s">
        <v>66</v>
      </c>
      <c r="D6" s="2"/>
      <c r="E6" s="2" t="s">
        <v>67</v>
      </c>
    </row>
    <row r="7" customFormat="false" ht="15" hidden="false" customHeight="false" outlineLevel="0" collapsed="false">
      <c r="B7" s="7" t="s">
        <v>68</v>
      </c>
      <c r="C7" s="16" t="n">
        <v>46388</v>
      </c>
      <c r="D7" s="2" t="s">
        <v>69</v>
      </c>
      <c r="E7" s="7" t="s">
        <v>70</v>
      </c>
    </row>
    <row r="8" customFormat="false" ht="15" hidden="false" customHeight="false" outlineLevel="0" collapsed="false">
      <c r="B8" s="7" t="s">
        <v>71</v>
      </c>
      <c r="C8" s="17" t="n">
        <v>60</v>
      </c>
      <c r="D8" s="2" t="s">
        <v>72</v>
      </c>
      <c r="E8" s="2" t="s">
        <v>67</v>
      </c>
    </row>
    <row r="9" customFormat="false" ht="15" hidden="false" customHeight="false" outlineLevel="0" collapsed="false">
      <c r="B9" s="7" t="s">
        <v>73</v>
      </c>
      <c r="C9" s="18" t="n">
        <v>6</v>
      </c>
      <c r="D9" s="2" t="s">
        <v>74</v>
      </c>
      <c r="E9" s="7" t="s">
        <v>75</v>
      </c>
    </row>
    <row r="11" customFormat="false" ht="15" hidden="false" customHeight="false" outlineLevel="0" collapsed="false">
      <c r="B11" s="5" t="s">
        <v>76</v>
      </c>
      <c r="C11" s="5" t="s">
        <v>62</v>
      </c>
      <c r="D11" s="5" t="s">
        <v>63</v>
      </c>
      <c r="E11" s="5" t="s">
        <v>64</v>
      </c>
    </row>
    <row r="12" customFormat="false" ht="15" hidden="false" customHeight="false" outlineLevel="0" collapsed="false">
      <c r="B12" s="7" t="s">
        <v>77</v>
      </c>
      <c r="C12" s="19" t="n">
        <v>0.8</v>
      </c>
      <c r="D12" s="2" t="s">
        <v>78</v>
      </c>
      <c r="E12" s="2" t="s">
        <v>67</v>
      </c>
    </row>
    <row r="13" customFormat="false" ht="15" hidden="false" customHeight="false" outlineLevel="0" collapsed="false">
      <c r="B13" s="7" t="s">
        <v>79</v>
      </c>
      <c r="C13" s="20" t="n">
        <v>18</v>
      </c>
      <c r="D13" s="2" t="s">
        <v>80</v>
      </c>
      <c r="E13" s="2" t="s">
        <v>67</v>
      </c>
    </row>
    <row r="14" customFormat="false" ht="15" hidden="false" customHeight="false" outlineLevel="0" collapsed="false">
      <c r="B14" s="7" t="s">
        <v>81</v>
      </c>
      <c r="C14" s="19" t="n">
        <v>1.5</v>
      </c>
      <c r="D14" s="2" t="s">
        <v>78</v>
      </c>
      <c r="E14" s="2" t="s">
        <v>67</v>
      </c>
    </row>
    <row r="15" customFormat="false" ht="15" hidden="false" customHeight="false" outlineLevel="0" collapsed="false">
      <c r="B15" s="7" t="s">
        <v>82</v>
      </c>
      <c r="C15" s="20" t="n">
        <v>34</v>
      </c>
      <c r="D15" s="2" t="s">
        <v>80</v>
      </c>
      <c r="E15" s="2" t="s">
        <v>67</v>
      </c>
    </row>
    <row r="16" customFormat="false" ht="15" hidden="false" customHeight="false" outlineLevel="0" collapsed="false">
      <c r="B16" s="7" t="s">
        <v>83</v>
      </c>
      <c r="C16" s="19" t="n">
        <v>0.3</v>
      </c>
      <c r="D16" s="2" t="s">
        <v>78</v>
      </c>
      <c r="E16" s="2" t="s">
        <v>67</v>
      </c>
    </row>
    <row r="17" customFormat="false" ht="15" hidden="false" customHeight="false" outlineLevel="0" collapsed="false">
      <c r="B17" s="7" t="s">
        <v>84</v>
      </c>
      <c r="C17" s="20" t="n">
        <v>15</v>
      </c>
      <c r="D17" s="2" t="s">
        <v>80</v>
      </c>
      <c r="E17" s="2" t="s">
        <v>67</v>
      </c>
    </row>
    <row r="18" customFormat="false" ht="15" hidden="false" customHeight="false" outlineLevel="0" collapsed="false">
      <c r="B18" s="7" t="s">
        <v>85</v>
      </c>
      <c r="C18" s="21" t="n">
        <v>0.12</v>
      </c>
      <c r="D18" s="2" t="s">
        <v>86</v>
      </c>
      <c r="E18" s="2" t="s">
        <v>67</v>
      </c>
    </row>
    <row r="19" customFormat="false" ht="15" hidden="false" customHeight="false" outlineLevel="0" collapsed="false">
      <c r="B19" s="7" t="s">
        <v>87</v>
      </c>
      <c r="C19" s="21" t="n">
        <v>0.03</v>
      </c>
      <c r="D19" s="2" t="s">
        <v>86</v>
      </c>
      <c r="E19" s="2" t="s">
        <v>67</v>
      </c>
    </row>
    <row r="20" customFormat="false" ht="15" hidden="false" customHeight="false" outlineLevel="0" collapsed="false">
      <c r="B20" s="7" t="s">
        <v>88</v>
      </c>
      <c r="C20" s="21" t="n">
        <v>0.02</v>
      </c>
      <c r="D20" s="2" t="s">
        <v>86</v>
      </c>
      <c r="E20" s="2" t="s">
        <v>67</v>
      </c>
    </row>
    <row r="21" customFormat="false" ht="15" hidden="false" customHeight="false" outlineLevel="0" collapsed="false">
      <c r="B21" s="7" t="s">
        <v>89</v>
      </c>
      <c r="C21" s="21" t="n">
        <v>0.03</v>
      </c>
      <c r="D21" s="2" t="s">
        <v>86</v>
      </c>
      <c r="E21" s="2" t="s">
        <v>67</v>
      </c>
    </row>
    <row r="22" customFormat="false" ht="15" hidden="false" customHeight="false" outlineLevel="0" collapsed="false">
      <c r="B22" s="7" t="s">
        <v>90</v>
      </c>
      <c r="C22" s="21" t="n">
        <v>0.03</v>
      </c>
      <c r="D22" s="2" t="s">
        <v>86</v>
      </c>
      <c r="E22" s="2" t="s">
        <v>67</v>
      </c>
    </row>
    <row r="23" customFormat="false" ht="15" hidden="false" customHeight="false" outlineLevel="0" collapsed="false">
      <c r="B23" s="7" t="s">
        <v>91</v>
      </c>
      <c r="C23" s="21" t="n">
        <v>0.75</v>
      </c>
      <c r="D23" s="2" t="s">
        <v>86</v>
      </c>
      <c r="E23" s="2" t="s">
        <v>67</v>
      </c>
    </row>
    <row r="25" customFormat="false" ht="15" hidden="false" customHeight="false" outlineLevel="0" collapsed="false">
      <c r="B25" s="5" t="s">
        <v>92</v>
      </c>
      <c r="C25" s="5" t="s">
        <v>62</v>
      </c>
      <c r="D25" s="5" t="s">
        <v>63</v>
      </c>
      <c r="E25" s="5" t="s">
        <v>64</v>
      </c>
    </row>
    <row r="26" customFormat="false" ht="15" hidden="false" customHeight="false" outlineLevel="0" collapsed="false">
      <c r="B26" s="7" t="s">
        <v>93</v>
      </c>
      <c r="C26" s="21" t="n">
        <v>0.65</v>
      </c>
      <c r="D26" s="2" t="s">
        <v>86</v>
      </c>
      <c r="E26" s="2" t="s">
        <v>67</v>
      </c>
    </row>
    <row r="27" customFormat="false" ht="15" hidden="false" customHeight="false" outlineLevel="0" collapsed="false">
      <c r="B27" s="7" t="s">
        <v>94</v>
      </c>
      <c r="C27" s="21" t="n">
        <v>0.75</v>
      </c>
      <c r="D27" s="2" t="s">
        <v>86</v>
      </c>
      <c r="E27" s="2" t="s">
        <v>67</v>
      </c>
    </row>
    <row r="28" customFormat="false" ht="15" hidden="false" customHeight="false" outlineLevel="0" collapsed="false">
      <c r="B28" s="7" t="s">
        <v>95</v>
      </c>
      <c r="C28" s="21" t="n">
        <v>0.85</v>
      </c>
      <c r="D28" s="2" t="s">
        <v>86</v>
      </c>
      <c r="E28" s="2" t="s">
        <v>67</v>
      </c>
    </row>
    <row r="29" customFormat="false" ht="15" hidden="false" customHeight="false" outlineLevel="0" collapsed="false">
      <c r="B29" s="7" t="s">
        <v>96</v>
      </c>
      <c r="C29" s="21" t="n">
        <v>0.9</v>
      </c>
      <c r="D29" s="2" t="s">
        <v>86</v>
      </c>
      <c r="E29" s="2" t="s">
        <v>67</v>
      </c>
    </row>
    <row r="30" customFormat="false" ht="15" hidden="false" customHeight="false" outlineLevel="0" collapsed="false">
      <c r="B30" s="7" t="s">
        <v>97</v>
      </c>
      <c r="C30" s="21" t="n">
        <v>0.95</v>
      </c>
      <c r="D30" s="2" t="s">
        <v>86</v>
      </c>
      <c r="E30" s="2" t="s">
        <v>67</v>
      </c>
    </row>
    <row r="31" customFormat="false" ht="15" hidden="false" customHeight="false" outlineLevel="0" collapsed="false">
      <c r="B31" s="7" t="s">
        <v>98</v>
      </c>
      <c r="C31" s="21" t="n">
        <v>1</v>
      </c>
      <c r="D31" s="2" t="s">
        <v>86</v>
      </c>
      <c r="E31" s="2" t="s">
        <v>67</v>
      </c>
    </row>
    <row r="32" customFormat="false" ht="15" hidden="false" customHeight="false" outlineLevel="0" collapsed="false">
      <c r="B32" s="2" t="s">
        <v>99</v>
      </c>
    </row>
    <row r="34" customFormat="false" ht="15" hidden="false" customHeight="false" outlineLevel="0" collapsed="false">
      <c r="B34" s="5" t="s">
        <v>100</v>
      </c>
      <c r="C34" s="5" t="s">
        <v>62</v>
      </c>
      <c r="D34" s="5" t="s">
        <v>63</v>
      </c>
      <c r="E34" s="5" t="s">
        <v>64</v>
      </c>
    </row>
    <row r="35" customFormat="false" ht="15" hidden="false" customHeight="false" outlineLevel="0" collapsed="false">
      <c r="B35" s="7" t="s">
        <v>101</v>
      </c>
      <c r="C35" s="21" t="n">
        <v>0.9</v>
      </c>
      <c r="D35" s="2" t="s">
        <v>86</v>
      </c>
      <c r="E35" s="2" t="s">
        <v>67</v>
      </c>
    </row>
    <row r="36" customFormat="false" ht="15" hidden="false" customHeight="false" outlineLevel="0" collapsed="false">
      <c r="B36" s="7" t="s">
        <v>102</v>
      </c>
      <c r="C36" s="21" t="n">
        <v>0.92</v>
      </c>
      <c r="D36" s="2" t="s">
        <v>86</v>
      </c>
      <c r="E36" s="2" t="s">
        <v>67</v>
      </c>
    </row>
    <row r="37" customFormat="false" ht="15" hidden="false" customHeight="false" outlineLevel="0" collapsed="false">
      <c r="B37" s="7" t="s">
        <v>103</v>
      </c>
      <c r="C37" s="21" t="n">
        <v>1</v>
      </c>
      <c r="D37" s="2" t="s">
        <v>86</v>
      </c>
      <c r="E37" s="2" t="s">
        <v>67</v>
      </c>
    </row>
    <row r="38" customFormat="false" ht="15" hidden="false" customHeight="false" outlineLevel="0" collapsed="false">
      <c r="B38" s="7" t="s">
        <v>104</v>
      </c>
      <c r="C38" s="21" t="n">
        <v>1</v>
      </c>
      <c r="D38" s="2" t="s">
        <v>86</v>
      </c>
      <c r="E38" s="2" t="s">
        <v>67</v>
      </c>
    </row>
    <row r="39" customFormat="false" ht="15" hidden="false" customHeight="false" outlineLevel="0" collapsed="false">
      <c r="B39" s="7" t="s">
        <v>105</v>
      </c>
      <c r="C39" s="21" t="n">
        <v>1.05</v>
      </c>
      <c r="D39" s="2" t="s">
        <v>86</v>
      </c>
      <c r="E39" s="2" t="s">
        <v>67</v>
      </c>
    </row>
    <row r="40" customFormat="false" ht="15" hidden="false" customHeight="false" outlineLevel="0" collapsed="false">
      <c r="B40" s="7" t="s">
        <v>106</v>
      </c>
      <c r="C40" s="21" t="n">
        <v>1.05</v>
      </c>
      <c r="D40" s="2" t="s">
        <v>86</v>
      </c>
      <c r="E40" s="2" t="s">
        <v>67</v>
      </c>
    </row>
    <row r="41" customFormat="false" ht="15" hidden="false" customHeight="false" outlineLevel="0" collapsed="false">
      <c r="B41" s="7" t="s">
        <v>107</v>
      </c>
      <c r="C41" s="21" t="n">
        <v>1.05</v>
      </c>
      <c r="D41" s="2" t="s">
        <v>86</v>
      </c>
      <c r="E41" s="2" t="s">
        <v>67</v>
      </c>
    </row>
    <row r="42" customFormat="false" ht="15" hidden="false" customHeight="false" outlineLevel="0" collapsed="false">
      <c r="B42" s="7" t="s">
        <v>108</v>
      </c>
      <c r="C42" s="21" t="n">
        <v>1.03</v>
      </c>
      <c r="D42" s="2" t="s">
        <v>86</v>
      </c>
      <c r="E42" s="2" t="s">
        <v>67</v>
      </c>
    </row>
    <row r="43" customFormat="false" ht="15" hidden="false" customHeight="false" outlineLevel="0" collapsed="false">
      <c r="B43" s="7" t="s">
        <v>109</v>
      </c>
      <c r="C43" s="21" t="n">
        <v>1</v>
      </c>
      <c r="D43" s="2" t="s">
        <v>86</v>
      </c>
      <c r="E43" s="2" t="s">
        <v>67</v>
      </c>
    </row>
    <row r="44" customFormat="false" ht="15" hidden="false" customHeight="false" outlineLevel="0" collapsed="false">
      <c r="B44" s="7" t="s">
        <v>110</v>
      </c>
      <c r="C44" s="21" t="n">
        <v>1</v>
      </c>
      <c r="D44" s="2" t="s">
        <v>86</v>
      </c>
      <c r="E44" s="2" t="s">
        <v>67</v>
      </c>
    </row>
    <row r="45" customFormat="false" ht="15" hidden="false" customHeight="false" outlineLevel="0" collapsed="false">
      <c r="B45" s="7" t="s">
        <v>111</v>
      </c>
      <c r="C45" s="21" t="n">
        <v>0.98</v>
      </c>
      <c r="D45" s="2" t="s">
        <v>86</v>
      </c>
      <c r="E45" s="2" t="s">
        <v>67</v>
      </c>
    </row>
    <row r="46" customFormat="false" ht="15" hidden="false" customHeight="false" outlineLevel="0" collapsed="false">
      <c r="B46" s="7" t="s">
        <v>112</v>
      </c>
      <c r="C46" s="21" t="n">
        <v>1.02</v>
      </c>
      <c r="D46" s="2" t="s">
        <v>86</v>
      </c>
      <c r="E46" s="2" t="s">
        <v>67</v>
      </c>
    </row>
    <row r="47" customFormat="false" ht="15" hidden="false" customHeight="false" outlineLevel="0" collapsed="false">
      <c r="B47" s="3" t="s">
        <v>113</v>
      </c>
      <c r="C47" s="22" t="n">
        <f aca="false">AVERAGE(C35:C46)</f>
        <v>1</v>
      </c>
      <c r="E47" s="2" t="s">
        <v>114</v>
      </c>
    </row>
    <row r="49" customFormat="false" ht="15" hidden="false" customHeight="false" outlineLevel="0" collapsed="false">
      <c r="B49" s="5" t="s">
        <v>115</v>
      </c>
      <c r="C49" s="5" t="s">
        <v>62</v>
      </c>
      <c r="D49" s="5" t="s">
        <v>63</v>
      </c>
      <c r="E49" s="5" t="s">
        <v>64</v>
      </c>
    </row>
    <row r="50" customFormat="false" ht="15" hidden="false" customHeight="false" outlineLevel="0" collapsed="false">
      <c r="B50" s="7" t="s">
        <v>116</v>
      </c>
      <c r="C50" s="21" t="n">
        <v>0.3</v>
      </c>
      <c r="D50" s="2" t="s">
        <v>86</v>
      </c>
      <c r="E50" s="2" t="s">
        <v>67</v>
      </c>
    </row>
    <row r="51" customFormat="false" ht="15" hidden="false" customHeight="false" outlineLevel="0" collapsed="false">
      <c r="B51" s="7" t="s">
        <v>117</v>
      </c>
      <c r="C51" s="21" t="n">
        <v>0.24</v>
      </c>
      <c r="D51" s="2" t="s">
        <v>86</v>
      </c>
      <c r="E51" s="2" t="s">
        <v>67</v>
      </c>
    </row>
    <row r="53" customFormat="false" ht="15" hidden="false" customHeight="false" outlineLevel="0" collapsed="false">
      <c r="B53" s="5" t="s">
        <v>118</v>
      </c>
      <c r="C53" s="5" t="s">
        <v>62</v>
      </c>
      <c r="D53" s="5" t="s">
        <v>63</v>
      </c>
      <c r="E53" s="5" t="s">
        <v>64</v>
      </c>
    </row>
    <row r="54" customFormat="false" ht="15" hidden="false" customHeight="false" outlineLevel="0" collapsed="false">
      <c r="B54" s="7" t="s">
        <v>119</v>
      </c>
      <c r="C54" s="20" t="n">
        <v>12</v>
      </c>
      <c r="D54" s="2" t="s">
        <v>120</v>
      </c>
      <c r="E54" s="7" t="s">
        <v>121</v>
      </c>
    </row>
    <row r="55" customFormat="false" ht="15" hidden="false" customHeight="false" outlineLevel="0" collapsed="false">
      <c r="B55" s="7" t="s">
        <v>122</v>
      </c>
      <c r="C55" s="18" t="n">
        <v>36</v>
      </c>
      <c r="D55" s="2" t="s">
        <v>123</v>
      </c>
      <c r="E55" s="2" t="s">
        <v>67</v>
      </c>
    </row>
    <row r="56" customFormat="false" ht="15" hidden="false" customHeight="false" outlineLevel="0" collapsed="false">
      <c r="B56" s="7" t="s">
        <v>124</v>
      </c>
      <c r="C56" s="20" t="n">
        <v>18</v>
      </c>
      <c r="D56" s="2" t="s">
        <v>120</v>
      </c>
      <c r="E56" s="7" t="s">
        <v>125</v>
      </c>
    </row>
    <row r="57" customFormat="false" ht="15" hidden="false" customHeight="false" outlineLevel="0" collapsed="false">
      <c r="B57" s="7" t="s">
        <v>126</v>
      </c>
      <c r="C57" s="18" t="n">
        <v>40</v>
      </c>
      <c r="D57" s="2" t="s">
        <v>123</v>
      </c>
      <c r="E57" s="2" t="s">
        <v>67</v>
      </c>
    </row>
    <row r="58" customFormat="false" ht="15" hidden="false" customHeight="false" outlineLevel="0" collapsed="false">
      <c r="B58" s="7" t="s">
        <v>127</v>
      </c>
      <c r="C58" s="23" t="n">
        <v>125000</v>
      </c>
      <c r="D58" s="2" t="s">
        <v>128</v>
      </c>
      <c r="E58" s="2" t="s">
        <v>67</v>
      </c>
    </row>
    <row r="59" customFormat="false" ht="15" hidden="false" customHeight="false" outlineLevel="0" collapsed="false">
      <c r="B59" s="7" t="s">
        <v>129</v>
      </c>
      <c r="C59" s="21" t="n">
        <v>0.03</v>
      </c>
      <c r="D59" s="2" t="s">
        <v>86</v>
      </c>
      <c r="E59" s="2" t="s">
        <v>67</v>
      </c>
    </row>
    <row r="60" customFormat="false" ht="15" hidden="false" customHeight="false" outlineLevel="0" collapsed="false">
      <c r="B60" s="7" t="s">
        <v>130</v>
      </c>
      <c r="C60" s="24" t="n">
        <v>0.0765</v>
      </c>
      <c r="D60" s="2" t="s">
        <v>131</v>
      </c>
      <c r="E60" s="7" t="s">
        <v>132</v>
      </c>
    </row>
    <row r="61" customFormat="false" ht="15" hidden="false" customHeight="false" outlineLevel="0" collapsed="false">
      <c r="B61" s="7" t="s">
        <v>133</v>
      </c>
      <c r="C61" s="21" t="n">
        <v>0.08</v>
      </c>
      <c r="D61" s="2" t="s">
        <v>131</v>
      </c>
      <c r="E61" s="7" t="s">
        <v>134</v>
      </c>
    </row>
    <row r="63" customFormat="false" ht="15" hidden="false" customHeight="false" outlineLevel="0" collapsed="false">
      <c r="B63" s="5" t="s">
        <v>135</v>
      </c>
      <c r="C63" s="5" t="s">
        <v>62</v>
      </c>
      <c r="D63" s="5" t="s">
        <v>63</v>
      </c>
      <c r="E63" s="5" t="s">
        <v>64</v>
      </c>
    </row>
    <row r="64" customFormat="false" ht="15" hidden="false" customHeight="false" outlineLevel="0" collapsed="false">
      <c r="B64" s="7" t="s">
        <v>136</v>
      </c>
      <c r="C64" s="23" t="n">
        <v>7500</v>
      </c>
      <c r="D64" s="2" t="s">
        <v>137</v>
      </c>
      <c r="E64" s="2" t="s">
        <v>67</v>
      </c>
    </row>
    <row r="65" customFormat="false" ht="15" hidden="false" customHeight="false" outlineLevel="0" collapsed="false">
      <c r="B65" s="7" t="s">
        <v>138</v>
      </c>
      <c r="C65" s="23" t="n">
        <v>1500</v>
      </c>
      <c r="D65" s="2" t="s">
        <v>137</v>
      </c>
      <c r="E65" s="2" t="s">
        <v>67</v>
      </c>
    </row>
    <row r="66" customFormat="false" ht="15" hidden="false" customHeight="false" outlineLevel="0" collapsed="false">
      <c r="B66" s="7" t="s">
        <v>139</v>
      </c>
      <c r="C66" s="21" t="n">
        <v>0.03</v>
      </c>
      <c r="D66" s="2" t="s">
        <v>86</v>
      </c>
      <c r="E66" s="7" t="s">
        <v>140</v>
      </c>
    </row>
    <row r="67" customFormat="false" ht="15" hidden="false" customHeight="false" outlineLevel="0" collapsed="false">
      <c r="B67" s="7" t="s">
        <v>141</v>
      </c>
      <c r="C67" s="23" t="n">
        <v>3500</v>
      </c>
      <c r="D67" s="2" t="s">
        <v>137</v>
      </c>
      <c r="E67" s="2" t="s">
        <v>67</v>
      </c>
    </row>
    <row r="68" customFormat="false" ht="15" hidden="false" customHeight="false" outlineLevel="0" collapsed="false">
      <c r="B68" s="7" t="s">
        <v>142</v>
      </c>
      <c r="C68" s="21" t="n">
        <v>0.02</v>
      </c>
      <c r="D68" s="2" t="s">
        <v>86</v>
      </c>
      <c r="E68" s="2" t="s">
        <v>67</v>
      </c>
    </row>
    <row r="69" customFormat="false" ht="15" hidden="false" customHeight="false" outlineLevel="0" collapsed="false">
      <c r="B69" s="7" t="s">
        <v>143</v>
      </c>
      <c r="C69" s="21" t="n">
        <v>0.028</v>
      </c>
      <c r="D69" s="2" t="s">
        <v>86</v>
      </c>
      <c r="E69" s="2" t="s">
        <v>67</v>
      </c>
    </row>
    <row r="70" customFormat="false" ht="15" hidden="false" customHeight="false" outlineLevel="0" collapsed="false">
      <c r="B70" s="7" t="s">
        <v>144</v>
      </c>
      <c r="C70" s="21" t="n">
        <v>0.015</v>
      </c>
      <c r="D70" s="2" t="s">
        <v>86</v>
      </c>
      <c r="E70" s="2" t="s">
        <v>67</v>
      </c>
    </row>
    <row r="71" customFormat="false" ht="15" hidden="false" customHeight="false" outlineLevel="0" collapsed="false">
      <c r="B71" s="7" t="s">
        <v>145</v>
      </c>
      <c r="C71" s="21" t="n">
        <v>0.02</v>
      </c>
      <c r="D71" s="2" t="s">
        <v>86</v>
      </c>
      <c r="E71" s="2" t="s">
        <v>67</v>
      </c>
    </row>
    <row r="72" customFormat="false" ht="15" hidden="false" customHeight="false" outlineLevel="0" collapsed="false">
      <c r="B72" s="7" t="s">
        <v>146</v>
      </c>
      <c r="C72" s="23" t="n">
        <v>1200</v>
      </c>
      <c r="D72" s="2" t="s">
        <v>137</v>
      </c>
      <c r="E72" s="2" t="s">
        <v>67</v>
      </c>
    </row>
    <row r="73" customFormat="false" ht="15" hidden="false" customHeight="false" outlineLevel="0" collapsed="false">
      <c r="B73" s="7" t="s">
        <v>147</v>
      </c>
      <c r="C73" s="23" t="n">
        <v>600</v>
      </c>
      <c r="D73" s="2" t="s">
        <v>137</v>
      </c>
      <c r="E73" s="2" t="s">
        <v>67</v>
      </c>
    </row>
    <row r="74" customFormat="false" ht="15" hidden="false" customHeight="false" outlineLevel="0" collapsed="false">
      <c r="B74" s="7" t="s">
        <v>148</v>
      </c>
      <c r="C74" s="23" t="n">
        <v>800</v>
      </c>
      <c r="D74" s="2" t="s">
        <v>137</v>
      </c>
      <c r="E74" s="2" t="s">
        <v>67</v>
      </c>
    </row>
    <row r="75" customFormat="false" ht="15" hidden="false" customHeight="false" outlineLevel="0" collapsed="false">
      <c r="B75" s="7" t="s">
        <v>149</v>
      </c>
      <c r="C75" s="23" t="n">
        <v>150</v>
      </c>
      <c r="D75" s="2" t="s">
        <v>137</v>
      </c>
      <c r="E75" s="2" t="s">
        <v>67</v>
      </c>
    </row>
    <row r="76" customFormat="false" ht="15" hidden="false" customHeight="false" outlineLevel="0" collapsed="false">
      <c r="B76" s="7" t="s">
        <v>150</v>
      </c>
      <c r="C76" s="23" t="n">
        <v>800</v>
      </c>
      <c r="D76" s="2" t="s">
        <v>137</v>
      </c>
      <c r="E76" s="2" t="s">
        <v>67</v>
      </c>
    </row>
    <row r="77" customFormat="false" ht="15" hidden="false" customHeight="false" outlineLevel="0" collapsed="false">
      <c r="B77" s="7" t="s">
        <v>151</v>
      </c>
      <c r="C77" s="21" t="n">
        <v>0.03</v>
      </c>
      <c r="D77" s="2" t="s">
        <v>86</v>
      </c>
      <c r="E77" s="2" t="s">
        <v>67</v>
      </c>
    </row>
    <row r="79" customFormat="false" ht="15" hidden="false" customHeight="false" outlineLevel="0" collapsed="false">
      <c r="B79" s="5" t="s">
        <v>152</v>
      </c>
      <c r="C79" s="5" t="s">
        <v>62</v>
      </c>
      <c r="D79" s="5" t="s">
        <v>63</v>
      </c>
      <c r="E79" s="5" t="s">
        <v>64</v>
      </c>
    </row>
    <row r="80" customFormat="false" ht="15" hidden="false" customHeight="false" outlineLevel="0" collapsed="false">
      <c r="B80" s="7" t="s">
        <v>153</v>
      </c>
      <c r="C80" s="23" t="n">
        <v>350000</v>
      </c>
      <c r="D80" s="2" t="s">
        <v>154</v>
      </c>
      <c r="E80" s="2" t="s">
        <v>67</v>
      </c>
    </row>
    <row r="81" customFormat="false" ht="15" hidden="false" customHeight="false" outlineLevel="0" collapsed="false">
      <c r="B81" s="7" t="s">
        <v>155</v>
      </c>
      <c r="C81" s="23" t="n">
        <v>175000</v>
      </c>
      <c r="D81" s="2" t="s">
        <v>154</v>
      </c>
      <c r="E81" s="2" t="s">
        <v>67</v>
      </c>
    </row>
    <row r="82" customFormat="false" ht="15" hidden="false" customHeight="false" outlineLevel="0" collapsed="false">
      <c r="B82" s="7" t="s">
        <v>156</v>
      </c>
      <c r="C82" s="23" t="n">
        <v>60000</v>
      </c>
      <c r="D82" s="2" t="s">
        <v>154</v>
      </c>
      <c r="E82" s="2" t="s">
        <v>67</v>
      </c>
    </row>
    <row r="83" customFormat="false" ht="15" hidden="false" customHeight="false" outlineLevel="0" collapsed="false">
      <c r="B83" s="7" t="s">
        <v>157</v>
      </c>
      <c r="C83" s="23" t="n">
        <v>15000</v>
      </c>
      <c r="D83" s="2" t="s">
        <v>154</v>
      </c>
      <c r="E83" s="2" t="s">
        <v>67</v>
      </c>
    </row>
    <row r="84" customFormat="false" ht="15" hidden="false" customHeight="false" outlineLevel="0" collapsed="false">
      <c r="B84" s="7" t="s">
        <v>158</v>
      </c>
      <c r="C84" s="23" t="n">
        <v>15000</v>
      </c>
      <c r="D84" s="2" t="s">
        <v>154</v>
      </c>
      <c r="E84" s="2" t="s">
        <v>67</v>
      </c>
    </row>
    <row r="85" customFormat="false" ht="15" hidden="false" customHeight="false" outlineLevel="0" collapsed="false">
      <c r="B85" s="7" t="s">
        <v>159</v>
      </c>
      <c r="C85" s="23" t="n">
        <v>25000</v>
      </c>
      <c r="D85" s="2" t="s">
        <v>154</v>
      </c>
      <c r="E85" s="2" t="s">
        <v>67</v>
      </c>
    </row>
    <row r="86" customFormat="false" ht="15" hidden="false" customHeight="false" outlineLevel="0" collapsed="false">
      <c r="B86" s="7" t="s">
        <v>160</v>
      </c>
      <c r="C86" s="23" t="n">
        <v>10000</v>
      </c>
      <c r="D86" s="2" t="s">
        <v>154</v>
      </c>
      <c r="E86" s="2" t="s">
        <v>67</v>
      </c>
    </row>
    <row r="87" customFormat="false" ht="15" hidden="false" customHeight="false" outlineLevel="0" collapsed="false">
      <c r="B87" s="7" t="s">
        <v>161</v>
      </c>
      <c r="C87" s="23" t="n">
        <v>40000</v>
      </c>
      <c r="D87" s="2" t="s">
        <v>154</v>
      </c>
      <c r="E87" s="2" t="s">
        <v>67</v>
      </c>
    </row>
    <row r="88" customFormat="false" ht="15" hidden="false" customHeight="false" outlineLevel="0" collapsed="false">
      <c r="B88" s="7" t="s">
        <v>162</v>
      </c>
      <c r="C88" s="23" t="n">
        <v>15000</v>
      </c>
      <c r="D88" s="2" t="s">
        <v>154</v>
      </c>
      <c r="E88" s="2" t="s">
        <v>67</v>
      </c>
    </row>
    <row r="89" customFormat="false" ht="15" hidden="false" customHeight="false" outlineLevel="0" collapsed="false">
      <c r="B89" s="7" t="s">
        <v>163</v>
      </c>
      <c r="C89" s="23" t="n">
        <v>20000</v>
      </c>
      <c r="D89" s="2" t="s">
        <v>154</v>
      </c>
      <c r="E89" s="2" t="s">
        <v>67</v>
      </c>
    </row>
    <row r="90" customFormat="false" ht="15" hidden="false" customHeight="false" outlineLevel="0" collapsed="false">
      <c r="B90" s="7" t="s">
        <v>164</v>
      </c>
      <c r="C90" s="23" t="n">
        <v>45000</v>
      </c>
      <c r="D90" s="2" t="s">
        <v>154</v>
      </c>
      <c r="E90" s="2" t="s">
        <v>67</v>
      </c>
    </row>
    <row r="91" customFormat="false" ht="15" hidden="false" customHeight="false" outlineLevel="0" collapsed="false">
      <c r="B91" s="7" t="s">
        <v>165</v>
      </c>
      <c r="C91" s="23" t="n">
        <v>75000</v>
      </c>
      <c r="D91" s="2" t="s">
        <v>154</v>
      </c>
      <c r="E91" s="2" t="s">
        <v>67</v>
      </c>
    </row>
    <row r="92" customFormat="false" ht="15" hidden="false" customHeight="false" outlineLevel="0" collapsed="false">
      <c r="B92" s="7" t="s">
        <v>166</v>
      </c>
      <c r="C92" s="21" t="n">
        <v>0.25</v>
      </c>
      <c r="D92" s="2" t="s">
        <v>86</v>
      </c>
      <c r="E92" s="7" t="s">
        <v>167</v>
      </c>
    </row>
    <row r="93" customFormat="false" ht="15" hidden="false" customHeight="false" outlineLevel="0" collapsed="false">
      <c r="B93" s="7" t="s">
        <v>168</v>
      </c>
      <c r="C93" s="17" t="n">
        <v>10</v>
      </c>
      <c r="D93" s="2" t="s">
        <v>169</v>
      </c>
      <c r="E93" s="7" t="s">
        <v>170</v>
      </c>
    </row>
    <row r="94" customFormat="false" ht="15" hidden="false" customHeight="false" outlineLevel="0" collapsed="false">
      <c r="B94" s="7" t="s">
        <v>171</v>
      </c>
      <c r="C94" s="17" t="n">
        <v>7</v>
      </c>
      <c r="D94" s="2" t="s">
        <v>169</v>
      </c>
      <c r="E94" s="7" t="s">
        <v>172</v>
      </c>
    </row>
    <row r="96" customFormat="false" ht="15" hidden="false" customHeight="false" outlineLevel="0" collapsed="false">
      <c r="B96" s="5" t="s">
        <v>173</v>
      </c>
      <c r="C96" s="5" t="s">
        <v>62</v>
      </c>
      <c r="D96" s="5" t="s">
        <v>63</v>
      </c>
      <c r="E96" s="5" t="s">
        <v>64</v>
      </c>
    </row>
    <row r="97" customFormat="false" ht="15" hidden="false" customHeight="false" outlineLevel="0" collapsed="false">
      <c r="B97" s="7" t="s">
        <v>174</v>
      </c>
      <c r="C97" s="23" t="n">
        <v>550000</v>
      </c>
      <c r="D97" s="2" t="s">
        <v>154</v>
      </c>
      <c r="E97" s="7" t="s">
        <v>175</v>
      </c>
    </row>
    <row r="98" customFormat="false" ht="15" hidden="false" customHeight="false" outlineLevel="0" collapsed="false">
      <c r="B98" s="7" t="s">
        <v>176</v>
      </c>
      <c r="C98" s="24" t="n">
        <v>0.105</v>
      </c>
      <c r="D98" s="2" t="s">
        <v>86</v>
      </c>
      <c r="E98" s="7" t="s">
        <v>177</v>
      </c>
    </row>
    <row r="99" customFormat="false" ht="15" hidden="false" customHeight="false" outlineLevel="0" collapsed="false">
      <c r="B99" s="7" t="s">
        <v>178</v>
      </c>
      <c r="C99" s="17" t="n">
        <v>10</v>
      </c>
      <c r="D99" s="2" t="s">
        <v>169</v>
      </c>
      <c r="E99" s="7" t="s">
        <v>179</v>
      </c>
    </row>
    <row r="100" customFormat="false" ht="15" hidden="false" customHeight="false" outlineLevel="0" collapsed="false">
      <c r="B100" s="7" t="s">
        <v>180</v>
      </c>
      <c r="C100" s="23" t="n">
        <v>250000</v>
      </c>
      <c r="D100" s="2" t="s">
        <v>154</v>
      </c>
      <c r="E100" s="2" t="s">
        <v>67</v>
      </c>
    </row>
    <row r="101" customFormat="false" ht="15" hidden="false" customHeight="false" outlineLevel="0" collapsed="false">
      <c r="B101" s="7" t="s">
        <v>181</v>
      </c>
      <c r="C101" s="23" t="n">
        <v>45000</v>
      </c>
      <c r="D101" s="2" t="s">
        <v>154</v>
      </c>
      <c r="E101" s="2" t="s">
        <v>67</v>
      </c>
    </row>
    <row r="102" customFormat="false" ht="15" hidden="false" customHeight="false" outlineLevel="0" collapsed="false">
      <c r="B102" s="7" t="s">
        <v>182</v>
      </c>
      <c r="C102" s="23" t="n">
        <v>0</v>
      </c>
      <c r="D102" s="2" t="s">
        <v>137</v>
      </c>
      <c r="E102" s="7" t="s">
        <v>183</v>
      </c>
    </row>
    <row r="103" customFormat="false" ht="15" hidden="false" customHeight="false" outlineLevel="0" collapsed="false">
      <c r="B103" s="7" t="s">
        <v>184</v>
      </c>
      <c r="C103" s="21" t="n">
        <v>0</v>
      </c>
      <c r="D103" s="2" t="s">
        <v>86</v>
      </c>
      <c r="E103" s="7" t="s">
        <v>185</v>
      </c>
    </row>
    <row r="105" customFormat="false" ht="15" hidden="false" customHeight="false" outlineLevel="0" collapsed="false">
      <c r="B105" s="5" t="s">
        <v>186</v>
      </c>
      <c r="C105" s="5" t="s">
        <v>62</v>
      </c>
      <c r="D105" s="5" t="s">
        <v>63</v>
      </c>
      <c r="E105" s="5" t="s">
        <v>64</v>
      </c>
    </row>
    <row r="106" customFormat="false" ht="15" hidden="false" customHeight="false" outlineLevel="0" collapsed="false">
      <c r="B106" s="7" t="s">
        <v>187</v>
      </c>
      <c r="C106" s="25" t="n">
        <f aca="false">Assumptions!$C$9*52/12</f>
        <v>26</v>
      </c>
      <c r="D106" s="2" t="s">
        <v>74</v>
      </c>
      <c r="E106" s="7" t="s">
        <v>188</v>
      </c>
    </row>
    <row r="107" customFormat="false" ht="15" hidden="false" customHeight="false" outlineLevel="0" collapsed="false">
      <c r="B107" s="7" t="s">
        <v>189</v>
      </c>
      <c r="C107" s="26" t="n">
        <f aca="false">Assumptions!$C$12+Assumptions!$C$14+Assumptions!$C$16</f>
        <v>2.6</v>
      </c>
      <c r="D107" s="2" t="s">
        <v>78</v>
      </c>
      <c r="E107" s="7" t="s">
        <v>190</v>
      </c>
    </row>
    <row r="108" customFormat="false" ht="15" hidden="false" customHeight="false" outlineLevel="0" collapsed="false">
      <c r="B108" s="7" t="s">
        <v>191</v>
      </c>
      <c r="C108" s="27" t="n">
        <f aca="false">IF(Assumptions!$C$107=0,0,(Assumptions!$C$12*Assumptions!$C$13+Assumptions!$C$14*Assumptions!$C$15+Assumptions!$C$16*Assumptions!$C$17)/Assumptions!$C$107)</f>
        <v>26.8846153846154</v>
      </c>
      <c r="D108" s="2" t="s">
        <v>80</v>
      </c>
      <c r="E108" s="7" t="s">
        <v>192</v>
      </c>
    </row>
    <row r="109" customFormat="false" ht="15" hidden="false" customHeight="false" outlineLevel="0" collapsed="false">
      <c r="B109" s="7" t="s">
        <v>193</v>
      </c>
      <c r="C109" s="22" t="n">
        <f aca="false">Assumptions!$C$23*Assumptions!$C$50+(1-Assumptions!$C$23)*Assumptions!$C$51</f>
        <v>0.285</v>
      </c>
      <c r="D109" s="2" t="s">
        <v>86</v>
      </c>
      <c r="E109" s="7" t="s">
        <v>194</v>
      </c>
    </row>
    <row r="110" customFormat="false" ht="15" hidden="false" customHeight="false" outlineLevel="0" collapsed="false">
      <c r="B110" s="7" t="s">
        <v>195</v>
      </c>
      <c r="C110" s="22" t="n">
        <f aca="false">Assumptions!$C$68+Assumptions!$C$69+Assumptions!$C$70+Assumptions!$C$71</f>
        <v>0.083</v>
      </c>
      <c r="D110" s="2" t="s">
        <v>86</v>
      </c>
      <c r="E110" s="7" t="s">
        <v>196</v>
      </c>
    </row>
    <row r="111" customFormat="false" ht="15" hidden="false" customHeight="false" outlineLevel="0" collapsed="false">
      <c r="B111" s="7" t="s">
        <v>197</v>
      </c>
      <c r="C111" s="28" t="n">
        <f aca="false">SUM(C80:C91)</f>
        <v>845000</v>
      </c>
      <c r="D111" s="2" t="s">
        <v>154</v>
      </c>
      <c r="E111" s="7"/>
    </row>
    <row r="112" customFormat="false" ht="15" hidden="false" customHeight="false" outlineLevel="0" collapsed="false">
      <c r="B112" s="7" t="s">
        <v>198</v>
      </c>
      <c r="C112" s="28" t="n">
        <f aca="false">IF(Assumptions!$C$93&gt;0,(Assumptions!$C$80+Assumptions!$C$90)/(Assumptions!$C$93*12),0)+IF(Assumptions!$C$94&gt;0,(Assumptions!$C$81+Assumptions!$C$82+Assumptions!$C$83)/(Assumptions!$C$94*12),0)</f>
        <v>6267.85714285714</v>
      </c>
      <c r="D112" s="2" t="s">
        <v>137</v>
      </c>
      <c r="E112" s="7" t="s">
        <v>199</v>
      </c>
    </row>
  </sheetData>
  <dataValidations count="9">
    <dataValidation allowBlank="true" error="Enter a percentage between 0% and 100%." errorStyle="stop" errorTitle="Percentage 0%-100%" operator="between" prompt="Enter a percentage between 0% and 100%." promptTitle="Percentage 0%-100%" showDropDown="false" showErrorMessage="true" showInputMessage="true" sqref="C18 C23 C50:C51 C60:C61 C68:C71 C92 C98 C103" type="decimal">
      <formula1>0</formula1>
      <formula2>1</formula2>
    </dataValidation>
    <dataValidation allowBlank="true" error="Enter a yearly change between -100% and 100% (3% = 0.03)." errorStyle="stop" errorTitle="Yearly change" operator="between" prompt="Enter a yearly change between -100% and 100% (3% = 0.03)." promptTitle="Yearly change" showDropDown="false" showErrorMessage="true" showInputMessage="true" sqref="C19:C22 C59 C66 C77" type="decimal">
      <formula1>-1</formula1>
      <formula2>1</formula2>
    </dataValidation>
    <dataValidation allowBlank="true" error="Loan term must be a whole number of years from 1 to 30." errorStyle="stop" errorTitle="Loan term 1-30 years" operator="between" prompt="Loan term must be a whole number of years from 1 to 30." promptTitle="Loan term 1-30 years" showDropDown="false" showErrorMessage="true" showInputMessage="true" sqref="C99" type="whole">
      <formula1>1</formula1>
      <formula2>30</formula2>
    </dataValidation>
    <dataValidation allowBlank="true" error="Days open per week must be a whole number from 1 to 7." errorStyle="stop" errorTitle="Days open 1-7" operator="between" prompt="Days open per week must be a whole number from 1 to 7." promptTitle="Days open 1-7" showDropDown="false" showErrorMessage="true" showInputMessage="true" sqref="C9" type="whole">
      <formula1>1</formula1>
      <formula2>7</formula2>
    </dataValidation>
    <dataValidation allowBlank="true" error="Seats must be a whole number greater than 0." errorStyle="stop" errorTitle="Seats above 0" operator="greaterThan" prompt="Seats must be a whole number greater than 0." promptTitle="Seats above 0" showDropDown="false" showErrorMessage="true" showInputMessage="true" sqref="C8" type="whole">
      <formula1>0</formula1>
      <formula2>0</formula2>
    </dataValidation>
    <dataValidation allowBlank="true" error="Enter a whole number of years from 1 to 50." errorStyle="stop" errorTitle="Depreciation life" operator="between" prompt="Enter a whole number of years from 1 to 50." promptTitle="Depreciation life" showDropDown="false" showErrorMessage="true" showInputMessage="true" sqref="C93:C94" type="whole">
      <formula1>1</formula1>
      <formula2>50</formula2>
    </dataValidation>
    <dataValidation allowBlank="true" error="Seat turns per open day cannot be negative (0 = daypart not served)." errorStyle="stop" errorTitle="Seat turns 0 or more" operator="greaterThanOrEqual" prompt="Seat turns per open day cannot be negative (0 = daypart not served)." promptTitle="Seat turns 0 or more" showDropDown="false" showErrorMessage="true" showInputMessage="true" sqref="C12 C14 C16" type="decimal">
      <formula1>0</formula1>
      <formula2>0</formula2>
    </dataValidation>
    <dataValidation allowBlank="true" error="Enter a factor between 0% and 200% of full (average) volume." errorStyle="stop" errorTitle="Factor 0%-200%" operator="between" prompt="Enter a factor between 0% and 200% of full (average) volume." promptTitle="Factor 0%-200%" showDropDown="false" showErrorMessage="true" showInputMessage="true" sqref="C26:C31 C35:C46" type="decimal">
      <formula1>0</formula1>
      <formula2>2</formula2>
    </dataValidation>
    <dataValidation allowBlank="true" error="Enter an amount of 0 or more (no negative values)." errorStyle="stop" errorTitle="Amount 0 or more" operator="greaterThanOrEqual" prompt="Enter an amount of 0 or more (no negative values)." promptTitle="Amount 0 or more" showDropDown="false" showErrorMessage="true" showInputMessage="true" sqref="C13 C15 C17 C54:C58 C64:C65 C67 C72:C76 C80:C91 C97 C100:C102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O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8" min="3" style="0" width="11"/>
    <col collapsed="false" customWidth="true" hidden="false" outlineLevel="0" max="41" min="39" style="0" width="13"/>
  </cols>
  <sheetData>
    <row r="1" customFormat="false" ht="17.35" hidden="false" customHeight="false" outlineLevel="0" collapsed="false">
      <c r="A1" s="1" t="s">
        <v>200</v>
      </c>
    </row>
    <row r="2" customFormat="false" ht="15" hidden="false" customHeight="false" outlineLevel="0" collapsed="false">
      <c r="A2" s="2" t="s">
        <v>201</v>
      </c>
    </row>
    <row r="4" customFormat="false" ht="15" hidden="false" customHeight="false" outlineLevel="0" collapsed="false">
      <c r="A4" s="3" t="s">
        <v>202</v>
      </c>
      <c r="C4" s="29" t="n">
        <v>1</v>
      </c>
      <c r="D4" s="29" t="n">
        <v>2</v>
      </c>
      <c r="E4" s="29" t="n">
        <v>3</v>
      </c>
      <c r="F4" s="29" t="n">
        <v>4</v>
      </c>
      <c r="G4" s="29" t="n">
        <v>5</v>
      </c>
      <c r="H4" s="29" t="n">
        <v>6</v>
      </c>
      <c r="I4" s="29" t="n">
        <v>7</v>
      </c>
      <c r="J4" s="29" t="n">
        <v>8</v>
      </c>
      <c r="K4" s="29" t="n">
        <v>9</v>
      </c>
      <c r="L4" s="29" t="n">
        <v>10</v>
      </c>
      <c r="M4" s="29" t="n">
        <v>11</v>
      </c>
      <c r="N4" s="29" t="n">
        <v>12</v>
      </c>
      <c r="O4" s="29" t="n">
        <v>13</v>
      </c>
      <c r="P4" s="29" t="n">
        <v>14</v>
      </c>
      <c r="Q4" s="29" t="n">
        <v>15</v>
      </c>
      <c r="R4" s="29" t="n">
        <v>16</v>
      </c>
      <c r="S4" s="29" t="n">
        <v>17</v>
      </c>
      <c r="T4" s="29" t="n">
        <v>18</v>
      </c>
      <c r="U4" s="29" t="n">
        <v>19</v>
      </c>
      <c r="V4" s="29" t="n">
        <v>20</v>
      </c>
      <c r="W4" s="29" t="n">
        <v>21</v>
      </c>
      <c r="X4" s="29" t="n">
        <v>22</v>
      </c>
      <c r="Y4" s="29" t="n">
        <v>23</v>
      </c>
      <c r="Z4" s="29" t="n">
        <v>24</v>
      </c>
      <c r="AA4" s="29" t="n">
        <v>25</v>
      </c>
      <c r="AB4" s="29" t="n">
        <v>26</v>
      </c>
      <c r="AC4" s="29" t="n">
        <v>27</v>
      </c>
      <c r="AD4" s="29" t="n">
        <v>28</v>
      </c>
      <c r="AE4" s="29" t="n">
        <v>29</v>
      </c>
      <c r="AF4" s="29" t="n">
        <v>30</v>
      </c>
      <c r="AG4" s="29" t="n">
        <v>31</v>
      </c>
      <c r="AH4" s="29" t="n">
        <v>32</v>
      </c>
      <c r="AI4" s="29" t="n">
        <v>33</v>
      </c>
      <c r="AJ4" s="29" t="n">
        <v>34</v>
      </c>
      <c r="AK4" s="29" t="n">
        <v>35</v>
      </c>
      <c r="AL4" s="29" t="n">
        <v>36</v>
      </c>
      <c r="AM4" s="30" t="s">
        <v>203</v>
      </c>
      <c r="AN4" s="30" t="s">
        <v>203</v>
      </c>
      <c r="AO4" s="30" t="s">
        <v>203</v>
      </c>
    </row>
    <row r="5" customFormat="false" ht="15" hidden="false" customHeight="false" outlineLevel="0" collapsed="false">
      <c r="A5" s="3" t="s">
        <v>204</v>
      </c>
      <c r="C5" s="31" t="n">
        <f aca="false">INT((C4-1)/12)+1</f>
        <v>1</v>
      </c>
      <c r="D5" s="31" t="n">
        <f aca="false">INT((D4-1)/12)+1</f>
        <v>1</v>
      </c>
      <c r="E5" s="31" t="n">
        <f aca="false">INT((E4-1)/12)+1</f>
        <v>1</v>
      </c>
      <c r="F5" s="31" t="n">
        <f aca="false">INT((F4-1)/12)+1</f>
        <v>1</v>
      </c>
      <c r="G5" s="31" t="n">
        <f aca="false">INT((G4-1)/12)+1</f>
        <v>1</v>
      </c>
      <c r="H5" s="31" t="n">
        <f aca="false">INT((H4-1)/12)+1</f>
        <v>1</v>
      </c>
      <c r="I5" s="31" t="n">
        <f aca="false">INT((I4-1)/12)+1</f>
        <v>1</v>
      </c>
      <c r="J5" s="31" t="n">
        <f aca="false">INT((J4-1)/12)+1</f>
        <v>1</v>
      </c>
      <c r="K5" s="31" t="n">
        <f aca="false">INT((K4-1)/12)+1</f>
        <v>1</v>
      </c>
      <c r="L5" s="31" t="n">
        <f aca="false">INT((L4-1)/12)+1</f>
        <v>1</v>
      </c>
      <c r="M5" s="31" t="n">
        <f aca="false">INT((M4-1)/12)+1</f>
        <v>1</v>
      </c>
      <c r="N5" s="31" t="n">
        <f aca="false">INT((N4-1)/12)+1</f>
        <v>1</v>
      </c>
      <c r="O5" s="31" t="n">
        <f aca="false">INT((O4-1)/12)+1</f>
        <v>2</v>
      </c>
      <c r="P5" s="31" t="n">
        <f aca="false">INT((P4-1)/12)+1</f>
        <v>2</v>
      </c>
      <c r="Q5" s="31" t="n">
        <f aca="false">INT((Q4-1)/12)+1</f>
        <v>2</v>
      </c>
      <c r="R5" s="31" t="n">
        <f aca="false">INT((R4-1)/12)+1</f>
        <v>2</v>
      </c>
      <c r="S5" s="31" t="n">
        <f aca="false">INT((S4-1)/12)+1</f>
        <v>2</v>
      </c>
      <c r="T5" s="31" t="n">
        <f aca="false">INT((T4-1)/12)+1</f>
        <v>2</v>
      </c>
      <c r="U5" s="31" t="n">
        <f aca="false">INT((U4-1)/12)+1</f>
        <v>2</v>
      </c>
      <c r="V5" s="31" t="n">
        <f aca="false">INT((V4-1)/12)+1</f>
        <v>2</v>
      </c>
      <c r="W5" s="31" t="n">
        <f aca="false">INT((W4-1)/12)+1</f>
        <v>2</v>
      </c>
      <c r="X5" s="31" t="n">
        <f aca="false">INT((X4-1)/12)+1</f>
        <v>2</v>
      </c>
      <c r="Y5" s="31" t="n">
        <f aca="false">INT((Y4-1)/12)+1</f>
        <v>2</v>
      </c>
      <c r="Z5" s="31" t="n">
        <f aca="false">INT((Z4-1)/12)+1</f>
        <v>2</v>
      </c>
      <c r="AA5" s="31" t="n">
        <f aca="false">INT((AA4-1)/12)+1</f>
        <v>3</v>
      </c>
      <c r="AB5" s="31" t="n">
        <f aca="false">INT((AB4-1)/12)+1</f>
        <v>3</v>
      </c>
      <c r="AC5" s="31" t="n">
        <f aca="false">INT((AC4-1)/12)+1</f>
        <v>3</v>
      </c>
      <c r="AD5" s="31" t="n">
        <f aca="false">INT((AD4-1)/12)+1</f>
        <v>3</v>
      </c>
      <c r="AE5" s="31" t="n">
        <f aca="false">INT((AE4-1)/12)+1</f>
        <v>3</v>
      </c>
      <c r="AF5" s="31" t="n">
        <f aca="false">INT((AF4-1)/12)+1</f>
        <v>3</v>
      </c>
      <c r="AG5" s="31" t="n">
        <f aca="false">INT((AG4-1)/12)+1</f>
        <v>3</v>
      </c>
      <c r="AH5" s="31" t="n">
        <f aca="false">INT((AH4-1)/12)+1</f>
        <v>3</v>
      </c>
      <c r="AI5" s="31" t="n">
        <f aca="false">INT((AI4-1)/12)+1</f>
        <v>3</v>
      </c>
      <c r="AJ5" s="31" t="n">
        <f aca="false">INT((AJ4-1)/12)+1</f>
        <v>3</v>
      </c>
      <c r="AK5" s="31" t="n">
        <f aca="false">INT((AK4-1)/12)+1</f>
        <v>3</v>
      </c>
      <c r="AL5" s="31" t="n">
        <f aca="false">INT((AL4-1)/12)+1</f>
        <v>3</v>
      </c>
      <c r="AM5" s="29" t="n">
        <v>1</v>
      </c>
      <c r="AN5" s="29" t="n">
        <v>2</v>
      </c>
      <c r="AO5" s="29" t="n">
        <v>3</v>
      </c>
    </row>
    <row r="6" customFormat="false" ht="15" hidden="false" customHeight="false" outlineLevel="0" collapsed="false">
      <c r="A6" s="5" t="s">
        <v>205</v>
      </c>
      <c r="B6" s="5" t="s">
        <v>63</v>
      </c>
      <c r="C6" s="32" t="n">
        <f aca="false">EDATE(Assumptions!$C$7,C4-1)</f>
        <v>46388</v>
      </c>
      <c r="D6" s="32" t="n">
        <f aca="false">EDATE(Assumptions!$C$7,D4-1)</f>
        <v>46419</v>
      </c>
      <c r="E6" s="32" t="n">
        <f aca="false">EDATE(Assumptions!$C$7,E4-1)</f>
        <v>46447</v>
      </c>
      <c r="F6" s="32" t="n">
        <f aca="false">EDATE(Assumptions!$C$7,F4-1)</f>
        <v>46478</v>
      </c>
      <c r="G6" s="32" t="n">
        <f aca="false">EDATE(Assumptions!$C$7,G4-1)</f>
        <v>46508</v>
      </c>
      <c r="H6" s="32" t="n">
        <f aca="false">EDATE(Assumptions!$C$7,H4-1)</f>
        <v>46539</v>
      </c>
      <c r="I6" s="32" t="n">
        <f aca="false">EDATE(Assumptions!$C$7,I4-1)</f>
        <v>46569</v>
      </c>
      <c r="J6" s="32" t="n">
        <f aca="false">EDATE(Assumptions!$C$7,J4-1)</f>
        <v>46600</v>
      </c>
      <c r="K6" s="32" t="n">
        <f aca="false">EDATE(Assumptions!$C$7,K4-1)</f>
        <v>46631</v>
      </c>
      <c r="L6" s="32" t="n">
        <f aca="false">EDATE(Assumptions!$C$7,L4-1)</f>
        <v>46661</v>
      </c>
      <c r="M6" s="32" t="n">
        <f aca="false">EDATE(Assumptions!$C$7,M4-1)</f>
        <v>46692</v>
      </c>
      <c r="N6" s="32" t="n">
        <f aca="false">EDATE(Assumptions!$C$7,N4-1)</f>
        <v>46722</v>
      </c>
      <c r="O6" s="32" t="n">
        <f aca="false">EDATE(Assumptions!$C$7,O4-1)</f>
        <v>46753</v>
      </c>
      <c r="P6" s="32" t="n">
        <f aca="false">EDATE(Assumptions!$C$7,P4-1)</f>
        <v>46784</v>
      </c>
      <c r="Q6" s="32" t="n">
        <f aca="false">EDATE(Assumptions!$C$7,Q4-1)</f>
        <v>46813</v>
      </c>
      <c r="R6" s="32" t="n">
        <f aca="false">EDATE(Assumptions!$C$7,R4-1)</f>
        <v>46844</v>
      </c>
      <c r="S6" s="32" t="n">
        <f aca="false">EDATE(Assumptions!$C$7,S4-1)</f>
        <v>46874</v>
      </c>
      <c r="T6" s="32" t="n">
        <f aca="false">EDATE(Assumptions!$C$7,T4-1)</f>
        <v>46905</v>
      </c>
      <c r="U6" s="32" t="n">
        <f aca="false">EDATE(Assumptions!$C$7,U4-1)</f>
        <v>46935</v>
      </c>
      <c r="V6" s="32" t="n">
        <f aca="false">EDATE(Assumptions!$C$7,V4-1)</f>
        <v>46966</v>
      </c>
      <c r="W6" s="32" t="n">
        <f aca="false">EDATE(Assumptions!$C$7,W4-1)</f>
        <v>46997</v>
      </c>
      <c r="X6" s="32" t="n">
        <f aca="false">EDATE(Assumptions!$C$7,X4-1)</f>
        <v>47027</v>
      </c>
      <c r="Y6" s="32" t="n">
        <f aca="false">EDATE(Assumptions!$C$7,Y4-1)</f>
        <v>47058</v>
      </c>
      <c r="Z6" s="32" t="n">
        <f aca="false">EDATE(Assumptions!$C$7,Z4-1)</f>
        <v>47088</v>
      </c>
      <c r="AA6" s="32" t="n">
        <f aca="false">EDATE(Assumptions!$C$7,AA4-1)</f>
        <v>47119</v>
      </c>
      <c r="AB6" s="32" t="n">
        <f aca="false">EDATE(Assumptions!$C$7,AB4-1)</f>
        <v>47150</v>
      </c>
      <c r="AC6" s="32" t="n">
        <f aca="false">EDATE(Assumptions!$C$7,AC4-1)</f>
        <v>47178</v>
      </c>
      <c r="AD6" s="32" t="n">
        <f aca="false">EDATE(Assumptions!$C$7,AD4-1)</f>
        <v>47209</v>
      </c>
      <c r="AE6" s="32" t="n">
        <f aca="false">EDATE(Assumptions!$C$7,AE4-1)</f>
        <v>47239</v>
      </c>
      <c r="AF6" s="32" t="n">
        <f aca="false">EDATE(Assumptions!$C$7,AF4-1)</f>
        <v>47270</v>
      </c>
      <c r="AG6" s="32" t="n">
        <f aca="false">EDATE(Assumptions!$C$7,AG4-1)</f>
        <v>47300</v>
      </c>
      <c r="AH6" s="32" t="n">
        <f aca="false">EDATE(Assumptions!$C$7,AH4-1)</f>
        <v>47331</v>
      </c>
      <c r="AI6" s="32" t="n">
        <f aca="false">EDATE(Assumptions!$C$7,AI4-1)</f>
        <v>47362</v>
      </c>
      <c r="AJ6" s="32" t="n">
        <f aca="false">EDATE(Assumptions!$C$7,AJ4-1)</f>
        <v>47392</v>
      </c>
      <c r="AK6" s="32" t="n">
        <f aca="false">EDATE(Assumptions!$C$7,AK4-1)</f>
        <v>47423</v>
      </c>
      <c r="AL6" s="32" t="n">
        <f aca="false">EDATE(Assumptions!$C$7,AL4-1)</f>
        <v>47453</v>
      </c>
      <c r="AM6" s="33" t="s">
        <v>206</v>
      </c>
      <c r="AN6" s="33" t="s">
        <v>207</v>
      </c>
      <c r="AO6" s="33" t="s">
        <v>208</v>
      </c>
    </row>
    <row r="7" customFormat="false" ht="15" hidden="false" customHeight="false" outlineLevel="0" collapsed="false">
      <c r="A7" s="34" t="s">
        <v>209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</row>
    <row r="8" customFormat="false" ht="15" hidden="false" customHeight="false" outlineLevel="0" collapsed="false">
      <c r="A8" s="7" t="s">
        <v>210</v>
      </c>
      <c r="B8" s="2" t="s">
        <v>74</v>
      </c>
      <c r="C8" s="25" t="n">
        <f aca="false">Assumptions!$C$9*DAY(EOMONTH(C6,0))/7</f>
        <v>26.5714285714286</v>
      </c>
      <c r="D8" s="25" t="n">
        <f aca="false">Assumptions!$C$9*DAY(EOMONTH(D6,0))/7</f>
        <v>24</v>
      </c>
      <c r="E8" s="25" t="n">
        <f aca="false">Assumptions!$C$9*DAY(EOMONTH(E6,0))/7</f>
        <v>26.5714285714286</v>
      </c>
      <c r="F8" s="25" t="n">
        <f aca="false">Assumptions!$C$9*DAY(EOMONTH(F6,0))/7</f>
        <v>25.7142857142857</v>
      </c>
      <c r="G8" s="25" t="n">
        <f aca="false">Assumptions!$C$9*DAY(EOMONTH(G6,0))/7</f>
        <v>26.5714285714286</v>
      </c>
      <c r="H8" s="25" t="n">
        <f aca="false">Assumptions!$C$9*DAY(EOMONTH(H6,0))/7</f>
        <v>25.7142857142857</v>
      </c>
      <c r="I8" s="25" t="n">
        <f aca="false">Assumptions!$C$9*DAY(EOMONTH(I6,0))/7</f>
        <v>26.5714285714286</v>
      </c>
      <c r="J8" s="25" t="n">
        <f aca="false">Assumptions!$C$9*DAY(EOMONTH(J6,0))/7</f>
        <v>26.5714285714286</v>
      </c>
      <c r="K8" s="25" t="n">
        <f aca="false">Assumptions!$C$9*DAY(EOMONTH(K6,0))/7</f>
        <v>25.7142857142857</v>
      </c>
      <c r="L8" s="25" t="n">
        <f aca="false">Assumptions!$C$9*DAY(EOMONTH(L6,0))/7</f>
        <v>26.5714285714286</v>
      </c>
      <c r="M8" s="25" t="n">
        <f aca="false">Assumptions!$C$9*DAY(EOMONTH(M6,0))/7</f>
        <v>25.7142857142857</v>
      </c>
      <c r="N8" s="25" t="n">
        <f aca="false">Assumptions!$C$9*DAY(EOMONTH(N6,0))/7</f>
        <v>26.5714285714286</v>
      </c>
      <c r="O8" s="25" t="n">
        <f aca="false">Assumptions!$C$9*DAY(EOMONTH(O6,0))/7</f>
        <v>26.5714285714286</v>
      </c>
      <c r="P8" s="25" t="n">
        <f aca="false">Assumptions!$C$9*DAY(EOMONTH(P6,0))/7</f>
        <v>24.8571428571429</v>
      </c>
      <c r="Q8" s="25" t="n">
        <f aca="false">Assumptions!$C$9*DAY(EOMONTH(Q6,0))/7</f>
        <v>26.5714285714286</v>
      </c>
      <c r="R8" s="25" t="n">
        <f aca="false">Assumptions!$C$9*DAY(EOMONTH(R6,0))/7</f>
        <v>25.7142857142857</v>
      </c>
      <c r="S8" s="25" t="n">
        <f aca="false">Assumptions!$C$9*DAY(EOMONTH(S6,0))/7</f>
        <v>26.5714285714286</v>
      </c>
      <c r="T8" s="25" t="n">
        <f aca="false">Assumptions!$C$9*DAY(EOMONTH(T6,0))/7</f>
        <v>25.7142857142857</v>
      </c>
      <c r="U8" s="25" t="n">
        <f aca="false">Assumptions!$C$9*DAY(EOMONTH(U6,0))/7</f>
        <v>26.5714285714286</v>
      </c>
      <c r="V8" s="25" t="n">
        <f aca="false">Assumptions!$C$9*DAY(EOMONTH(V6,0))/7</f>
        <v>26.5714285714286</v>
      </c>
      <c r="W8" s="25" t="n">
        <f aca="false">Assumptions!$C$9*DAY(EOMONTH(W6,0))/7</f>
        <v>25.7142857142857</v>
      </c>
      <c r="X8" s="25" t="n">
        <f aca="false">Assumptions!$C$9*DAY(EOMONTH(X6,0))/7</f>
        <v>26.5714285714286</v>
      </c>
      <c r="Y8" s="25" t="n">
        <f aca="false">Assumptions!$C$9*DAY(EOMONTH(Y6,0))/7</f>
        <v>25.7142857142857</v>
      </c>
      <c r="Z8" s="25" t="n">
        <f aca="false">Assumptions!$C$9*DAY(EOMONTH(Z6,0))/7</f>
        <v>26.5714285714286</v>
      </c>
      <c r="AA8" s="25" t="n">
        <f aca="false">Assumptions!$C$9*DAY(EOMONTH(AA6,0))/7</f>
        <v>26.5714285714286</v>
      </c>
      <c r="AB8" s="25" t="n">
        <f aca="false">Assumptions!$C$9*DAY(EOMONTH(AB6,0))/7</f>
        <v>24</v>
      </c>
      <c r="AC8" s="25" t="n">
        <f aca="false">Assumptions!$C$9*DAY(EOMONTH(AC6,0))/7</f>
        <v>26.5714285714286</v>
      </c>
      <c r="AD8" s="25" t="n">
        <f aca="false">Assumptions!$C$9*DAY(EOMONTH(AD6,0))/7</f>
        <v>25.7142857142857</v>
      </c>
      <c r="AE8" s="25" t="n">
        <f aca="false">Assumptions!$C$9*DAY(EOMONTH(AE6,0))/7</f>
        <v>26.5714285714286</v>
      </c>
      <c r="AF8" s="25" t="n">
        <f aca="false">Assumptions!$C$9*DAY(EOMONTH(AF6,0))/7</f>
        <v>25.7142857142857</v>
      </c>
      <c r="AG8" s="25" t="n">
        <f aca="false">Assumptions!$C$9*DAY(EOMONTH(AG6,0))/7</f>
        <v>26.5714285714286</v>
      </c>
      <c r="AH8" s="25" t="n">
        <f aca="false">Assumptions!$C$9*DAY(EOMONTH(AH6,0))/7</f>
        <v>26.5714285714286</v>
      </c>
      <c r="AI8" s="25" t="n">
        <f aca="false">Assumptions!$C$9*DAY(EOMONTH(AI6,0))/7</f>
        <v>25.7142857142857</v>
      </c>
      <c r="AJ8" s="25" t="n">
        <f aca="false">Assumptions!$C$9*DAY(EOMONTH(AJ6,0))/7</f>
        <v>26.5714285714286</v>
      </c>
      <c r="AK8" s="25" t="n">
        <f aca="false">Assumptions!$C$9*DAY(EOMONTH(AK6,0))/7</f>
        <v>25.7142857142857</v>
      </c>
      <c r="AL8" s="25" t="n">
        <f aca="false">Assumptions!$C$9*DAY(EOMONTH(AL6,0))/7</f>
        <v>26.5714285714286</v>
      </c>
      <c r="AM8" s="36" t="n">
        <f aca="false">SUMIF($C$5:$AL$5,AM$5,$C8:$AL8)</f>
        <v>312.857142857143</v>
      </c>
      <c r="AN8" s="36" t="n">
        <f aca="false">SUMIF($C$5:$AL$5,AN$5,$C8:$AL8)</f>
        <v>313.714285714286</v>
      </c>
      <c r="AO8" s="36" t="n">
        <f aca="false">SUMIF($C$5:$AL$5,AO$5,$C8:$AL8)</f>
        <v>312.857142857143</v>
      </c>
    </row>
    <row r="9" customFormat="false" ht="15" hidden="false" customHeight="false" outlineLevel="0" collapsed="false">
      <c r="A9" s="7" t="s">
        <v>211</v>
      </c>
      <c r="B9" s="2"/>
      <c r="C9" s="22" t="n">
        <f aca="false">IF(C4&lt;=6,INDEX(Assumptions!$C$26:$C$31,C4),1)</f>
        <v>0.65</v>
      </c>
      <c r="D9" s="22" t="n">
        <f aca="false">IF(D4&lt;=6,INDEX(Assumptions!$C$26:$C$31,D4),1)</f>
        <v>0.75</v>
      </c>
      <c r="E9" s="22" t="n">
        <f aca="false">IF(E4&lt;=6,INDEX(Assumptions!$C$26:$C$31,E4),1)</f>
        <v>0.85</v>
      </c>
      <c r="F9" s="22" t="n">
        <f aca="false">IF(F4&lt;=6,INDEX(Assumptions!$C$26:$C$31,F4),1)</f>
        <v>0.9</v>
      </c>
      <c r="G9" s="22" t="n">
        <f aca="false">IF(G4&lt;=6,INDEX(Assumptions!$C$26:$C$31,G4),1)</f>
        <v>0.95</v>
      </c>
      <c r="H9" s="22" t="n">
        <f aca="false">IF(H4&lt;=6,INDEX(Assumptions!$C$26:$C$31,H4),1)</f>
        <v>1</v>
      </c>
      <c r="I9" s="22" t="n">
        <f aca="false">IF(I4&lt;=6,INDEX(Assumptions!$C$26:$C$31,I4),1)</f>
        <v>1</v>
      </c>
      <c r="J9" s="22" t="n">
        <f aca="false">IF(J4&lt;=6,INDEX(Assumptions!$C$26:$C$31,J4),1)</f>
        <v>1</v>
      </c>
      <c r="K9" s="22" t="n">
        <f aca="false">IF(K4&lt;=6,INDEX(Assumptions!$C$26:$C$31,K4),1)</f>
        <v>1</v>
      </c>
      <c r="L9" s="22" t="n">
        <f aca="false">IF(L4&lt;=6,INDEX(Assumptions!$C$26:$C$31,L4),1)</f>
        <v>1</v>
      </c>
      <c r="M9" s="22" t="n">
        <f aca="false">IF(M4&lt;=6,INDEX(Assumptions!$C$26:$C$31,M4),1)</f>
        <v>1</v>
      </c>
      <c r="N9" s="22" t="n">
        <f aca="false">IF(N4&lt;=6,INDEX(Assumptions!$C$26:$C$31,N4),1)</f>
        <v>1</v>
      </c>
      <c r="O9" s="22" t="n">
        <f aca="false">IF(O4&lt;=6,INDEX(Assumptions!$C$26:$C$31,O4),1)</f>
        <v>1</v>
      </c>
      <c r="P9" s="22" t="n">
        <f aca="false">IF(P4&lt;=6,INDEX(Assumptions!$C$26:$C$31,P4),1)</f>
        <v>1</v>
      </c>
      <c r="Q9" s="22" t="n">
        <f aca="false">IF(Q4&lt;=6,INDEX(Assumptions!$C$26:$C$31,Q4),1)</f>
        <v>1</v>
      </c>
      <c r="R9" s="22" t="n">
        <f aca="false">IF(R4&lt;=6,INDEX(Assumptions!$C$26:$C$31,R4),1)</f>
        <v>1</v>
      </c>
      <c r="S9" s="22" t="n">
        <f aca="false">IF(S4&lt;=6,INDEX(Assumptions!$C$26:$C$31,S4),1)</f>
        <v>1</v>
      </c>
      <c r="T9" s="22" t="n">
        <f aca="false">IF(T4&lt;=6,INDEX(Assumptions!$C$26:$C$31,T4),1)</f>
        <v>1</v>
      </c>
      <c r="U9" s="22" t="n">
        <f aca="false">IF(U4&lt;=6,INDEX(Assumptions!$C$26:$C$31,U4),1)</f>
        <v>1</v>
      </c>
      <c r="V9" s="22" t="n">
        <f aca="false">IF(V4&lt;=6,INDEX(Assumptions!$C$26:$C$31,V4),1)</f>
        <v>1</v>
      </c>
      <c r="W9" s="22" t="n">
        <f aca="false">IF(W4&lt;=6,INDEX(Assumptions!$C$26:$C$31,W4),1)</f>
        <v>1</v>
      </c>
      <c r="X9" s="22" t="n">
        <f aca="false">IF(X4&lt;=6,INDEX(Assumptions!$C$26:$C$31,X4),1)</f>
        <v>1</v>
      </c>
      <c r="Y9" s="22" t="n">
        <f aca="false">IF(Y4&lt;=6,INDEX(Assumptions!$C$26:$C$31,Y4),1)</f>
        <v>1</v>
      </c>
      <c r="Z9" s="22" t="n">
        <f aca="false">IF(Z4&lt;=6,INDEX(Assumptions!$C$26:$C$31,Z4),1)</f>
        <v>1</v>
      </c>
      <c r="AA9" s="22" t="n">
        <f aca="false">IF(AA4&lt;=6,INDEX(Assumptions!$C$26:$C$31,AA4),1)</f>
        <v>1</v>
      </c>
      <c r="AB9" s="22" t="n">
        <f aca="false">IF(AB4&lt;=6,INDEX(Assumptions!$C$26:$C$31,AB4),1)</f>
        <v>1</v>
      </c>
      <c r="AC9" s="22" t="n">
        <f aca="false">IF(AC4&lt;=6,INDEX(Assumptions!$C$26:$C$31,AC4),1)</f>
        <v>1</v>
      </c>
      <c r="AD9" s="22" t="n">
        <f aca="false">IF(AD4&lt;=6,INDEX(Assumptions!$C$26:$C$31,AD4),1)</f>
        <v>1</v>
      </c>
      <c r="AE9" s="22" t="n">
        <f aca="false">IF(AE4&lt;=6,INDEX(Assumptions!$C$26:$C$31,AE4),1)</f>
        <v>1</v>
      </c>
      <c r="AF9" s="22" t="n">
        <f aca="false">IF(AF4&lt;=6,INDEX(Assumptions!$C$26:$C$31,AF4),1)</f>
        <v>1</v>
      </c>
      <c r="AG9" s="22" t="n">
        <f aca="false">IF(AG4&lt;=6,INDEX(Assumptions!$C$26:$C$31,AG4),1)</f>
        <v>1</v>
      </c>
      <c r="AH9" s="22" t="n">
        <f aca="false">IF(AH4&lt;=6,INDEX(Assumptions!$C$26:$C$31,AH4),1)</f>
        <v>1</v>
      </c>
      <c r="AI9" s="22" t="n">
        <f aca="false">IF(AI4&lt;=6,INDEX(Assumptions!$C$26:$C$31,AI4),1)</f>
        <v>1</v>
      </c>
      <c r="AJ9" s="22" t="n">
        <f aca="false">IF(AJ4&lt;=6,INDEX(Assumptions!$C$26:$C$31,AJ4),1)</f>
        <v>1</v>
      </c>
      <c r="AK9" s="22" t="n">
        <f aca="false">IF(AK4&lt;=6,INDEX(Assumptions!$C$26:$C$31,AK4),1)</f>
        <v>1</v>
      </c>
      <c r="AL9" s="22" t="n">
        <f aca="false">IF(AL4&lt;=6,INDEX(Assumptions!$C$26:$C$31,AL4),1)</f>
        <v>1</v>
      </c>
    </row>
    <row r="10" customFormat="false" ht="15" hidden="false" customHeight="false" outlineLevel="0" collapsed="false">
      <c r="A10" s="7" t="s">
        <v>212</v>
      </c>
      <c r="B10" s="2"/>
      <c r="C10" s="22" t="n">
        <f aca="false">INDEX(Assumptions!$C$35:$C$46,MONTH(C6))</f>
        <v>0.9</v>
      </c>
      <c r="D10" s="22" t="n">
        <f aca="false">INDEX(Assumptions!$C$35:$C$46,MONTH(D6))</f>
        <v>0.92</v>
      </c>
      <c r="E10" s="22" t="n">
        <f aca="false">INDEX(Assumptions!$C$35:$C$46,MONTH(E6))</f>
        <v>1</v>
      </c>
      <c r="F10" s="22" t="n">
        <f aca="false">INDEX(Assumptions!$C$35:$C$46,MONTH(F6))</f>
        <v>1</v>
      </c>
      <c r="G10" s="22" t="n">
        <f aca="false">INDEX(Assumptions!$C$35:$C$46,MONTH(G6))</f>
        <v>1.05</v>
      </c>
      <c r="H10" s="22" t="n">
        <f aca="false">INDEX(Assumptions!$C$35:$C$46,MONTH(H6))</f>
        <v>1.05</v>
      </c>
      <c r="I10" s="22" t="n">
        <f aca="false">INDEX(Assumptions!$C$35:$C$46,MONTH(I6))</f>
        <v>1.05</v>
      </c>
      <c r="J10" s="22" t="n">
        <f aca="false">INDEX(Assumptions!$C$35:$C$46,MONTH(J6))</f>
        <v>1.03</v>
      </c>
      <c r="K10" s="22" t="n">
        <f aca="false">INDEX(Assumptions!$C$35:$C$46,MONTH(K6))</f>
        <v>1</v>
      </c>
      <c r="L10" s="22" t="n">
        <f aca="false">INDEX(Assumptions!$C$35:$C$46,MONTH(L6))</f>
        <v>1</v>
      </c>
      <c r="M10" s="22" t="n">
        <f aca="false">INDEX(Assumptions!$C$35:$C$46,MONTH(M6))</f>
        <v>0.98</v>
      </c>
      <c r="N10" s="22" t="n">
        <f aca="false">INDEX(Assumptions!$C$35:$C$46,MONTH(N6))</f>
        <v>1.02</v>
      </c>
      <c r="O10" s="22" t="n">
        <f aca="false">INDEX(Assumptions!$C$35:$C$46,MONTH(O6))</f>
        <v>0.9</v>
      </c>
      <c r="P10" s="22" t="n">
        <f aca="false">INDEX(Assumptions!$C$35:$C$46,MONTH(P6))</f>
        <v>0.92</v>
      </c>
      <c r="Q10" s="22" t="n">
        <f aca="false">INDEX(Assumptions!$C$35:$C$46,MONTH(Q6))</f>
        <v>1</v>
      </c>
      <c r="R10" s="22" t="n">
        <f aca="false">INDEX(Assumptions!$C$35:$C$46,MONTH(R6))</f>
        <v>1</v>
      </c>
      <c r="S10" s="22" t="n">
        <f aca="false">INDEX(Assumptions!$C$35:$C$46,MONTH(S6))</f>
        <v>1.05</v>
      </c>
      <c r="T10" s="22" t="n">
        <f aca="false">INDEX(Assumptions!$C$35:$C$46,MONTH(T6))</f>
        <v>1.05</v>
      </c>
      <c r="U10" s="22" t="n">
        <f aca="false">INDEX(Assumptions!$C$35:$C$46,MONTH(U6))</f>
        <v>1.05</v>
      </c>
      <c r="V10" s="22" t="n">
        <f aca="false">INDEX(Assumptions!$C$35:$C$46,MONTH(V6))</f>
        <v>1.03</v>
      </c>
      <c r="W10" s="22" t="n">
        <f aca="false">INDEX(Assumptions!$C$35:$C$46,MONTH(W6))</f>
        <v>1</v>
      </c>
      <c r="X10" s="22" t="n">
        <f aca="false">INDEX(Assumptions!$C$35:$C$46,MONTH(X6))</f>
        <v>1</v>
      </c>
      <c r="Y10" s="22" t="n">
        <f aca="false">INDEX(Assumptions!$C$35:$C$46,MONTH(Y6))</f>
        <v>0.98</v>
      </c>
      <c r="Z10" s="22" t="n">
        <f aca="false">INDEX(Assumptions!$C$35:$C$46,MONTH(Z6))</f>
        <v>1.02</v>
      </c>
      <c r="AA10" s="22" t="n">
        <f aca="false">INDEX(Assumptions!$C$35:$C$46,MONTH(AA6))</f>
        <v>0.9</v>
      </c>
      <c r="AB10" s="22" t="n">
        <f aca="false">INDEX(Assumptions!$C$35:$C$46,MONTH(AB6))</f>
        <v>0.92</v>
      </c>
      <c r="AC10" s="22" t="n">
        <f aca="false">INDEX(Assumptions!$C$35:$C$46,MONTH(AC6))</f>
        <v>1</v>
      </c>
      <c r="AD10" s="22" t="n">
        <f aca="false">INDEX(Assumptions!$C$35:$C$46,MONTH(AD6))</f>
        <v>1</v>
      </c>
      <c r="AE10" s="22" t="n">
        <f aca="false">INDEX(Assumptions!$C$35:$C$46,MONTH(AE6))</f>
        <v>1.05</v>
      </c>
      <c r="AF10" s="22" t="n">
        <f aca="false">INDEX(Assumptions!$C$35:$C$46,MONTH(AF6))</f>
        <v>1.05</v>
      </c>
      <c r="AG10" s="22" t="n">
        <f aca="false">INDEX(Assumptions!$C$35:$C$46,MONTH(AG6))</f>
        <v>1.05</v>
      </c>
      <c r="AH10" s="22" t="n">
        <f aca="false">INDEX(Assumptions!$C$35:$C$46,MONTH(AH6))</f>
        <v>1.03</v>
      </c>
      <c r="AI10" s="22" t="n">
        <f aca="false">INDEX(Assumptions!$C$35:$C$46,MONTH(AI6))</f>
        <v>1</v>
      </c>
      <c r="AJ10" s="22" t="n">
        <f aca="false">INDEX(Assumptions!$C$35:$C$46,MONTH(AJ6))</f>
        <v>1</v>
      </c>
      <c r="AK10" s="22" t="n">
        <f aca="false">INDEX(Assumptions!$C$35:$C$46,MONTH(AK6))</f>
        <v>0.98</v>
      </c>
      <c r="AL10" s="22" t="n">
        <f aca="false">INDEX(Assumptions!$C$35:$C$46,MONTH(AL6))</f>
        <v>1.02</v>
      </c>
    </row>
    <row r="11" customFormat="false" ht="15" hidden="false" customHeight="false" outlineLevel="0" collapsed="false">
      <c r="A11" s="7" t="s">
        <v>213</v>
      </c>
      <c r="B11" s="2"/>
      <c r="C11" s="37" t="n">
        <f aca="false">IF(C5=1,1,IF(C5=2,1+Assumptions!$C$19,(1+Assumptions!$C$19)*(1+Assumptions!$C$20)))</f>
        <v>1</v>
      </c>
      <c r="D11" s="37" t="n">
        <f aca="false">IF(D5=1,1,IF(D5=2,1+Assumptions!$C$19,(1+Assumptions!$C$19)*(1+Assumptions!$C$20)))</f>
        <v>1</v>
      </c>
      <c r="E11" s="37" t="n">
        <f aca="false">IF(E5=1,1,IF(E5=2,1+Assumptions!$C$19,(1+Assumptions!$C$19)*(1+Assumptions!$C$20)))</f>
        <v>1</v>
      </c>
      <c r="F11" s="37" t="n">
        <f aca="false">IF(F5=1,1,IF(F5=2,1+Assumptions!$C$19,(1+Assumptions!$C$19)*(1+Assumptions!$C$20)))</f>
        <v>1</v>
      </c>
      <c r="G11" s="37" t="n">
        <f aca="false">IF(G5=1,1,IF(G5=2,1+Assumptions!$C$19,(1+Assumptions!$C$19)*(1+Assumptions!$C$20)))</f>
        <v>1</v>
      </c>
      <c r="H11" s="37" t="n">
        <f aca="false">IF(H5=1,1,IF(H5=2,1+Assumptions!$C$19,(1+Assumptions!$C$19)*(1+Assumptions!$C$20)))</f>
        <v>1</v>
      </c>
      <c r="I11" s="37" t="n">
        <f aca="false">IF(I5=1,1,IF(I5=2,1+Assumptions!$C$19,(1+Assumptions!$C$19)*(1+Assumptions!$C$20)))</f>
        <v>1</v>
      </c>
      <c r="J11" s="37" t="n">
        <f aca="false">IF(J5=1,1,IF(J5=2,1+Assumptions!$C$19,(1+Assumptions!$C$19)*(1+Assumptions!$C$20)))</f>
        <v>1</v>
      </c>
      <c r="K11" s="37" t="n">
        <f aca="false">IF(K5=1,1,IF(K5=2,1+Assumptions!$C$19,(1+Assumptions!$C$19)*(1+Assumptions!$C$20)))</f>
        <v>1</v>
      </c>
      <c r="L11" s="37" t="n">
        <f aca="false">IF(L5=1,1,IF(L5=2,1+Assumptions!$C$19,(1+Assumptions!$C$19)*(1+Assumptions!$C$20)))</f>
        <v>1</v>
      </c>
      <c r="M11" s="37" t="n">
        <f aca="false">IF(M5=1,1,IF(M5=2,1+Assumptions!$C$19,(1+Assumptions!$C$19)*(1+Assumptions!$C$20)))</f>
        <v>1</v>
      </c>
      <c r="N11" s="37" t="n">
        <f aca="false">IF(N5=1,1,IF(N5=2,1+Assumptions!$C$19,(1+Assumptions!$C$19)*(1+Assumptions!$C$20)))</f>
        <v>1</v>
      </c>
      <c r="O11" s="37" t="n">
        <f aca="false">IF(O5=1,1,IF(O5=2,1+Assumptions!$C$19,(1+Assumptions!$C$19)*(1+Assumptions!$C$20)))</f>
        <v>1.03</v>
      </c>
      <c r="P11" s="37" t="n">
        <f aca="false">IF(P5=1,1,IF(P5=2,1+Assumptions!$C$19,(1+Assumptions!$C$19)*(1+Assumptions!$C$20)))</f>
        <v>1.03</v>
      </c>
      <c r="Q11" s="37" t="n">
        <f aca="false">IF(Q5=1,1,IF(Q5=2,1+Assumptions!$C$19,(1+Assumptions!$C$19)*(1+Assumptions!$C$20)))</f>
        <v>1.03</v>
      </c>
      <c r="R11" s="37" t="n">
        <f aca="false">IF(R5=1,1,IF(R5=2,1+Assumptions!$C$19,(1+Assumptions!$C$19)*(1+Assumptions!$C$20)))</f>
        <v>1.03</v>
      </c>
      <c r="S11" s="37" t="n">
        <f aca="false">IF(S5=1,1,IF(S5=2,1+Assumptions!$C$19,(1+Assumptions!$C$19)*(1+Assumptions!$C$20)))</f>
        <v>1.03</v>
      </c>
      <c r="T11" s="37" t="n">
        <f aca="false">IF(T5=1,1,IF(T5=2,1+Assumptions!$C$19,(1+Assumptions!$C$19)*(1+Assumptions!$C$20)))</f>
        <v>1.03</v>
      </c>
      <c r="U11" s="37" t="n">
        <f aca="false">IF(U5=1,1,IF(U5=2,1+Assumptions!$C$19,(1+Assumptions!$C$19)*(1+Assumptions!$C$20)))</f>
        <v>1.03</v>
      </c>
      <c r="V11" s="37" t="n">
        <f aca="false">IF(V5=1,1,IF(V5=2,1+Assumptions!$C$19,(1+Assumptions!$C$19)*(1+Assumptions!$C$20)))</f>
        <v>1.03</v>
      </c>
      <c r="W11" s="37" t="n">
        <f aca="false">IF(W5=1,1,IF(W5=2,1+Assumptions!$C$19,(1+Assumptions!$C$19)*(1+Assumptions!$C$20)))</f>
        <v>1.03</v>
      </c>
      <c r="X11" s="37" t="n">
        <f aca="false">IF(X5=1,1,IF(X5=2,1+Assumptions!$C$19,(1+Assumptions!$C$19)*(1+Assumptions!$C$20)))</f>
        <v>1.03</v>
      </c>
      <c r="Y11" s="37" t="n">
        <f aca="false">IF(Y5=1,1,IF(Y5=2,1+Assumptions!$C$19,(1+Assumptions!$C$19)*(1+Assumptions!$C$20)))</f>
        <v>1.03</v>
      </c>
      <c r="Z11" s="37" t="n">
        <f aca="false">IF(Z5=1,1,IF(Z5=2,1+Assumptions!$C$19,(1+Assumptions!$C$19)*(1+Assumptions!$C$20)))</f>
        <v>1.03</v>
      </c>
      <c r="AA11" s="37" t="n">
        <f aca="false">IF(AA5=1,1,IF(AA5=2,1+Assumptions!$C$19,(1+Assumptions!$C$19)*(1+Assumptions!$C$20)))</f>
        <v>1.0506</v>
      </c>
      <c r="AB11" s="37" t="n">
        <f aca="false">IF(AB5=1,1,IF(AB5=2,1+Assumptions!$C$19,(1+Assumptions!$C$19)*(1+Assumptions!$C$20)))</f>
        <v>1.0506</v>
      </c>
      <c r="AC11" s="37" t="n">
        <f aca="false">IF(AC5=1,1,IF(AC5=2,1+Assumptions!$C$19,(1+Assumptions!$C$19)*(1+Assumptions!$C$20)))</f>
        <v>1.0506</v>
      </c>
      <c r="AD11" s="37" t="n">
        <f aca="false">IF(AD5=1,1,IF(AD5=2,1+Assumptions!$C$19,(1+Assumptions!$C$19)*(1+Assumptions!$C$20)))</f>
        <v>1.0506</v>
      </c>
      <c r="AE11" s="37" t="n">
        <f aca="false">IF(AE5=1,1,IF(AE5=2,1+Assumptions!$C$19,(1+Assumptions!$C$19)*(1+Assumptions!$C$20)))</f>
        <v>1.0506</v>
      </c>
      <c r="AF11" s="37" t="n">
        <f aca="false">IF(AF5=1,1,IF(AF5=2,1+Assumptions!$C$19,(1+Assumptions!$C$19)*(1+Assumptions!$C$20)))</f>
        <v>1.0506</v>
      </c>
      <c r="AG11" s="37" t="n">
        <f aca="false">IF(AG5=1,1,IF(AG5=2,1+Assumptions!$C$19,(1+Assumptions!$C$19)*(1+Assumptions!$C$20)))</f>
        <v>1.0506</v>
      </c>
      <c r="AH11" s="37" t="n">
        <f aca="false">IF(AH5=1,1,IF(AH5=2,1+Assumptions!$C$19,(1+Assumptions!$C$19)*(1+Assumptions!$C$20)))</f>
        <v>1.0506</v>
      </c>
      <c r="AI11" s="37" t="n">
        <f aca="false">IF(AI5=1,1,IF(AI5=2,1+Assumptions!$C$19,(1+Assumptions!$C$19)*(1+Assumptions!$C$20)))</f>
        <v>1.0506</v>
      </c>
      <c r="AJ11" s="37" t="n">
        <f aca="false">IF(AJ5=1,1,IF(AJ5=2,1+Assumptions!$C$19,(1+Assumptions!$C$19)*(1+Assumptions!$C$20)))</f>
        <v>1.0506</v>
      </c>
      <c r="AK11" s="37" t="n">
        <f aca="false">IF(AK5=1,1,IF(AK5=2,1+Assumptions!$C$19,(1+Assumptions!$C$19)*(1+Assumptions!$C$20)))</f>
        <v>1.0506</v>
      </c>
      <c r="AL11" s="37" t="n">
        <f aca="false">IF(AL5=1,1,IF(AL5=2,1+Assumptions!$C$19,(1+Assumptions!$C$19)*(1+Assumptions!$C$20)))</f>
        <v>1.0506</v>
      </c>
    </row>
    <row r="12" customFormat="false" ht="15" hidden="false" customHeight="false" outlineLevel="0" collapsed="false">
      <c r="A12" s="7" t="s">
        <v>214</v>
      </c>
      <c r="B12" s="2"/>
      <c r="C12" s="37" t="n">
        <f aca="false">IF(C5=1,1,IF(C5=2,1+Assumptions!$C$21,(1+Assumptions!$C$21)*(1+Assumptions!$C$22)))</f>
        <v>1</v>
      </c>
      <c r="D12" s="37" t="n">
        <f aca="false">IF(D5=1,1,IF(D5=2,1+Assumptions!$C$21,(1+Assumptions!$C$21)*(1+Assumptions!$C$22)))</f>
        <v>1</v>
      </c>
      <c r="E12" s="37" t="n">
        <f aca="false">IF(E5=1,1,IF(E5=2,1+Assumptions!$C$21,(1+Assumptions!$C$21)*(1+Assumptions!$C$22)))</f>
        <v>1</v>
      </c>
      <c r="F12" s="37" t="n">
        <f aca="false">IF(F5=1,1,IF(F5=2,1+Assumptions!$C$21,(1+Assumptions!$C$21)*(1+Assumptions!$C$22)))</f>
        <v>1</v>
      </c>
      <c r="G12" s="37" t="n">
        <f aca="false">IF(G5=1,1,IF(G5=2,1+Assumptions!$C$21,(1+Assumptions!$C$21)*(1+Assumptions!$C$22)))</f>
        <v>1</v>
      </c>
      <c r="H12" s="37" t="n">
        <f aca="false">IF(H5=1,1,IF(H5=2,1+Assumptions!$C$21,(1+Assumptions!$C$21)*(1+Assumptions!$C$22)))</f>
        <v>1</v>
      </c>
      <c r="I12" s="37" t="n">
        <f aca="false">IF(I5=1,1,IF(I5=2,1+Assumptions!$C$21,(1+Assumptions!$C$21)*(1+Assumptions!$C$22)))</f>
        <v>1</v>
      </c>
      <c r="J12" s="37" t="n">
        <f aca="false">IF(J5=1,1,IF(J5=2,1+Assumptions!$C$21,(1+Assumptions!$C$21)*(1+Assumptions!$C$22)))</f>
        <v>1</v>
      </c>
      <c r="K12" s="37" t="n">
        <f aca="false">IF(K5=1,1,IF(K5=2,1+Assumptions!$C$21,(1+Assumptions!$C$21)*(1+Assumptions!$C$22)))</f>
        <v>1</v>
      </c>
      <c r="L12" s="37" t="n">
        <f aca="false">IF(L5=1,1,IF(L5=2,1+Assumptions!$C$21,(1+Assumptions!$C$21)*(1+Assumptions!$C$22)))</f>
        <v>1</v>
      </c>
      <c r="M12" s="37" t="n">
        <f aca="false">IF(M5=1,1,IF(M5=2,1+Assumptions!$C$21,(1+Assumptions!$C$21)*(1+Assumptions!$C$22)))</f>
        <v>1</v>
      </c>
      <c r="N12" s="37" t="n">
        <f aca="false">IF(N5=1,1,IF(N5=2,1+Assumptions!$C$21,(1+Assumptions!$C$21)*(1+Assumptions!$C$22)))</f>
        <v>1</v>
      </c>
      <c r="O12" s="37" t="n">
        <f aca="false">IF(O5=1,1,IF(O5=2,1+Assumptions!$C$21,(1+Assumptions!$C$21)*(1+Assumptions!$C$22)))</f>
        <v>1.03</v>
      </c>
      <c r="P12" s="37" t="n">
        <f aca="false">IF(P5=1,1,IF(P5=2,1+Assumptions!$C$21,(1+Assumptions!$C$21)*(1+Assumptions!$C$22)))</f>
        <v>1.03</v>
      </c>
      <c r="Q12" s="37" t="n">
        <f aca="false">IF(Q5=1,1,IF(Q5=2,1+Assumptions!$C$21,(1+Assumptions!$C$21)*(1+Assumptions!$C$22)))</f>
        <v>1.03</v>
      </c>
      <c r="R12" s="37" t="n">
        <f aca="false">IF(R5=1,1,IF(R5=2,1+Assumptions!$C$21,(1+Assumptions!$C$21)*(1+Assumptions!$C$22)))</f>
        <v>1.03</v>
      </c>
      <c r="S12" s="37" t="n">
        <f aca="false">IF(S5=1,1,IF(S5=2,1+Assumptions!$C$21,(1+Assumptions!$C$21)*(1+Assumptions!$C$22)))</f>
        <v>1.03</v>
      </c>
      <c r="T12" s="37" t="n">
        <f aca="false">IF(T5=1,1,IF(T5=2,1+Assumptions!$C$21,(1+Assumptions!$C$21)*(1+Assumptions!$C$22)))</f>
        <v>1.03</v>
      </c>
      <c r="U12" s="37" t="n">
        <f aca="false">IF(U5=1,1,IF(U5=2,1+Assumptions!$C$21,(1+Assumptions!$C$21)*(1+Assumptions!$C$22)))</f>
        <v>1.03</v>
      </c>
      <c r="V12" s="37" t="n">
        <f aca="false">IF(V5=1,1,IF(V5=2,1+Assumptions!$C$21,(1+Assumptions!$C$21)*(1+Assumptions!$C$22)))</f>
        <v>1.03</v>
      </c>
      <c r="W12" s="37" t="n">
        <f aca="false">IF(W5=1,1,IF(W5=2,1+Assumptions!$C$21,(1+Assumptions!$C$21)*(1+Assumptions!$C$22)))</f>
        <v>1.03</v>
      </c>
      <c r="X12" s="37" t="n">
        <f aca="false">IF(X5=1,1,IF(X5=2,1+Assumptions!$C$21,(1+Assumptions!$C$21)*(1+Assumptions!$C$22)))</f>
        <v>1.03</v>
      </c>
      <c r="Y12" s="37" t="n">
        <f aca="false">IF(Y5=1,1,IF(Y5=2,1+Assumptions!$C$21,(1+Assumptions!$C$21)*(1+Assumptions!$C$22)))</f>
        <v>1.03</v>
      </c>
      <c r="Z12" s="37" t="n">
        <f aca="false">IF(Z5=1,1,IF(Z5=2,1+Assumptions!$C$21,(1+Assumptions!$C$21)*(1+Assumptions!$C$22)))</f>
        <v>1.03</v>
      </c>
      <c r="AA12" s="37" t="n">
        <f aca="false">IF(AA5=1,1,IF(AA5=2,1+Assumptions!$C$21,(1+Assumptions!$C$21)*(1+Assumptions!$C$22)))</f>
        <v>1.0609</v>
      </c>
      <c r="AB12" s="37" t="n">
        <f aca="false">IF(AB5=1,1,IF(AB5=2,1+Assumptions!$C$21,(1+Assumptions!$C$21)*(1+Assumptions!$C$22)))</f>
        <v>1.0609</v>
      </c>
      <c r="AC12" s="37" t="n">
        <f aca="false">IF(AC5=1,1,IF(AC5=2,1+Assumptions!$C$21,(1+Assumptions!$C$21)*(1+Assumptions!$C$22)))</f>
        <v>1.0609</v>
      </c>
      <c r="AD12" s="37" t="n">
        <f aca="false">IF(AD5=1,1,IF(AD5=2,1+Assumptions!$C$21,(1+Assumptions!$C$21)*(1+Assumptions!$C$22)))</f>
        <v>1.0609</v>
      </c>
      <c r="AE12" s="37" t="n">
        <f aca="false">IF(AE5=1,1,IF(AE5=2,1+Assumptions!$C$21,(1+Assumptions!$C$21)*(1+Assumptions!$C$22)))</f>
        <v>1.0609</v>
      </c>
      <c r="AF12" s="37" t="n">
        <f aca="false">IF(AF5=1,1,IF(AF5=2,1+Assumptions!$C$21,(1+Assumptions!$C$21)*(1+Assumptions!$C$22)))</f>
        <v>1.0609</v>
      </c>
      <c r="AG12" s="37" t="n">
        <f aca="false">IF(AG5=1,1,IF(AG5=2,1+Assumptions!$C$21,(1+Assumptions!$C$21)*(1+Assumptions!$C$22)))</f>
        <v>1.0609</v>
      </c>
      <c r="AH12" s="37" t="n">
        <f aca="false">IF(AH5=1,1,IF(AH5=2,1+Assumptions!$C$21,(1+Assumptions!$C$21)*(1+Assumptions!$C$22)))</f>
        <v>1.0609</v>
      </c>
      <c r="AI12" s="37" t="n">
        <f aca="false">IF(AI5=1,1,IF(AI5=2,1+Assumptions!$C$21,(1+Assumptions!$C$21)*(1+Assumptions!$C$22)))</f>
        <v>1.0609</v>
      </c>
      <c r="AJ12" s="37" t="n">
        <f aca="false">IF(AJ5=1,1,IF(AJ5=2,1+Assumptions!$C$21,(1+Assumptions!$C$21)*(1+Assumptions!$C$22)))</f>
        <v>1.0609</v>
      </c>
      <c r="AK12" s="37" t="n">
        <f aca="false">IF(AK5=1,1,IF(AK5=2,1+Assumptions!$C$21,(1+Assumptions!$C$21)*(1+Assumptions!$C$22)))</f>
        <v>1.0609</v>
      </c>
      <c r="AL12" s="37" t="n">
        <f aca="false">IF(AL5=1,1,IF(AL5=2,1+Assumptions!$C$21,(1+Assumptions!$C$21)*(1+Assumptions!$C$22)))</f>
        <v>1.0609</v>
      </c>
    </row>
    <row r="14" customFormat="false" ht="15" hidden="false" customHeight="false" outlineLevel="0" collapsed="false">
      <c r="A14" s="34" t="s">
        <v>215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</row>
    <row r="15" customFormat="false" ht="15" hidden="false" customHeight="false" outlineLevel="0" collapsed="false">
      <c r="A15" s="7" t="s">
        <v>216</v>
      </c>
      <c r="B15" s="2" t="s">
        <v>217</v>
      </c>
      <c r="C15" s="38" t="n">
        <f aca="false">Assumptions!$C$8*Assumptions!$C$12*C8*C9*C10*C11</f>
        <v>746.125714285715</v>
      </c>
      <c r="D15" s="38" t="n">
        <f aca="false">Assumptions!$C$8*Assumptions!$C$12*D8*D9*D10*D11</f>
        <v>794.88</v>
      </c>
      <c r="E15" s="38" t="n">
        <f aca="false">Assumptions!$C$8*Assumptions!$C$12*E8*E9*E10*E11</f>
        <v>1084.11428571429</v>
      </c>
      <c r="F15" s="38" t="n">
        <f aca="false">Assumptions!$C$8*Assumptions!$C$12*F8*F9*F10*F11</f>
        <v>1110.85714285714</v>
      </c>
      <c r="G15" s="38" t="n">
        <f aca="false">Assumptions!$C$8*Assumptions!$C$12*G8*G9*G10*G11</f>
        <v>1272.24</v>
      </c>
      <c r="H15" s="38" t="n">
        <f aca="false">Assumptions!$C$8*Assumptions!$C$12*H8*H9*H10*H11</f>
        <v>1296</v>
      </c>
      <c r="I15" s="38" t="n">
        <f aca="false">Assumptions!$C$8*Assumptions!$C$12*I8*I9*I10*I11</f>
        <v>1339.2</v>
      </c>
      <c r="J15" s="38" t="n">
        <f aca="false">Assumptions!$C$8*Assumptions!$C$12*J8*J9*J10*J11</f>
        <v>1313.69142857143</v>
      </c>
      <c r="K15" s="38" t="n">
        <f aca="false">Assumptions!$C$8*Assumptions!$C$12*K8*K9*K10*K11</f>
        <v>1234.28571428571</v>
      </c>
      <c r="L15" s="38" t="n">
        <f aca="false">Assumptions!$C$8*Assumptions!$C$12*L8*L9*L10*L11</f>
        <v>1275.42857142857</v>
      </c>
      <c r="M15" s="38" t="n">
        <f aca="false">Assumptions!$C$8*Assumptions!$C$12*M8*M9*M10*M11</f>
        <v>1209.6</v>
      </c>
      <c r="N15" s="38" t="n">
        <f aca="false">Assumptions!$C$8*Assumptions!$C$12*N8*N9*N10*N11</f>
        <v>1300.93714285714</v>
      </c>
      <c r="O15" s="38" t="n">
        <f aca="false">Assumptions!$C$8*Assumptions!$C$12*O8*O9*O10*O11</f>
        <v>1182.32228571429</v>
      </c>
      <c r="P15" s="38" t="n">
        <f aca="false">Assumptions!$C$8*Assumptions!$C$12*P8*P9*P10*P11</f>
        <v>1130.62217142857</v>
      </c>
      <c r="Q15" s="38" t="n">
        <f aca="false">Assumptions!$C$8*Assumptions!$C$12*Q8*Q9*Q10*Q11</f>
        <v>1313.69142857143</v>
      </c>
      <c r="R15" s="38" t="n">
        <f aca="false">Assumptions!$C$8*Assumptions!$C$12*R8*R9*R10*R11</f>
        <v>1271.31428571429</v>
      </c>
      <c r="S15" s="38" t="n">
        <f aca="false">Assumptions!$C$8*Assumptions!$C$12*S8*S9*S10*S11</f>
        <v>1379.376</v>
      </c>
      <c r="T15" s="38" t="n">
        <f aca="false">Assumptions!$C$8*Assumptions!$C$12*T8*T9*T10*T11</f>
        <v>1334.88</v>
      </c>
      <c r="U15" s="38" t="n">
        <f aca="false">Assumptions!$C$8*Assumptions!$C$12*U8*U9*U10*U11</f>
        <v>1379.376</v>
      </c>
      <c r="V15" s="38" t="n">
        <f aca="false">Assumptions!$C$8*Assumptions!$C$12*V8*V9*V10*V11</f>
        <v>1353.10217142857</v>
      </c>
      <c r="W15" s="38" t="n">
        <f aca="false">Assumptions!$C$8*Assumptions!$C$12*W8*W9*W10*W11</f>
        <v>1271.31428571429</v>
      </c>
      <c r="X15" s="38" t="n">
        <f aca="false">Assumptions!$C$8*Assumptions!$C$12*X8*X9*X10*X11</f>
        <v>1313.69142857143</v>
      </c>
      <c r="Y15" s="38" t="n">
        <f aca="false">Assumptions!$C$8*Assumptions!$C$12*Y8*Y9*Y10*Y11</f>
        <v>1245.888</v>
      </c>
      <c r="Z15" s="38" t="n">
        <f aca="false">Assumptions!$C$8*Assumptions!$C$12*Z8*Z9*Z10*Z11</f>
        <v>1339.96525714286</v>
      </c>
      <c r="AA15" s="38" t="n">
        <f aca="false">Assumptions!$C$8*Assumptions!$C$12*AA8*AA9*AA10*AA11</f>
        <v>1205.96873142857</v>
      </c>
      <c r="AB15" s="38" t="n">
        <f aca="false">Assumptions!$C$8*Assumptions!$C$12*AB8*AB9*AB10*AB11</f>
        <v>1113.467904</v>
      </c>
      <c r="AC15" s="38" t="n">
        <f aca="false">Assumptions!$C$8*Assumptions!$C$12*AC8*AC9*AC10*AC11</f>
        <v>1339.96525714286</v>
      </c>
      <c r="AD15" s="38" t="n">
        <f aca="false">Assumptions!$C$8*Assumptions!$C$12*AD8*AD9*AD10*AD11</f>
        <v>1296.74057142857</v>
      </c>
      <c r="AE15" s="38" t="n">
        <f aca="false">Assumptions!$C$8*Assumptions!$C$12*AE8*AE9*AE10*AE11</f>
        <v>1406.96352</v>
      </c>
      <c r="AF15" s="38" t="n">
        <f aca="false">Assumptions!$C$8*Assumptions!$C$12*AF8*AF9*AF10*AF11</f>
        <v>1361.5776</v>
      </c>
      <c r="AG15" s="38" t="n">
        <f aca="false">Assumptions!$C$8*Assumptions!$C$12*AG8*AG9*AG10*AG11</f>
        <v>1406.96352</v>
      </c>
      <c r="AH15" s="38" t="n">
        <f aca="false">Assumptions!$C$8*Assumptions!$C$12*AH8*AH9*AH10*AH11</f>
        <v>1380.16421485714</v>
      </c>
      <c r="AI15" s="38" t="n">
        <f aca="false">Assumptions!$C$8*Assumptions!$C$12*AI8*AI9*AI10*AI11</f>
        <v>1296.74057142857</v>
      </c>
      <c r="AJ15" s="38" t="n">
        <f aca="false">Assumptions!$C$8*Assumptions!$C$12*AJ8*AJ9*AJ10*AJ11</f>
        <v>1339.96525714286</v>
      </c>
      <c r="AK15" s="38" t="n">
        <f aca="false">Assumptions!$C$8*Assumptions!$C$12*AK8*AK9*AK10*AK11</f>
        <v>1270.80576</v>
      </c>
      <c r="AL15" s="38" t="n">
        <f aca="false">Assumptions!$C$8*Assumptions!$C$12*AL8*AL9*AL10*AL11</f>
        <v>1366.76456228571</v>
      </c>
      <c r="AM15" s="39" t="n">
        <f aca="false">SUMIF($C$5:$AL$5,AM$5,$C15:$AL15)</f>
        <v>13977.36</v>
      </c>
      <c r="AN15" s="39" t="n">
        <f aca="false">SUMIF($C$5:$AL$5,AN$5,$C15:$AL15)</f>
        <v>15515.5433142857</v>
      </c>
      <c r="AO15" s="39" t="n">
        <f aca="false">SUMIF($C$5:$AL$5,AO$5,$C15:$AL15)</f>
        <v>15786.0874697143</v>
      </c>
    </row>
    <row r="16" customFormat="false" ht="15" hidden="false" customHeight="false" outlineLevel="0" collapsed="false">
      <c r="A16" s="7" t="s">
        <v>218</v>
      </c>
      <c r="B16" s="2" t="s">
        <v>217</v>
      </c>
      <c r="C16" s="38" t="n">
        <f aca="false">Assumptions!$C$8*Assumptions!$C$14*C8*C9*C10*C11</f>
        <v>1398.98571428571</v>
      </c>
      <c r="D16" s="38" t="n">
        <f aca="false">Assumptions!$C$8*Assumptions!$C$14*D8*D9*D10*D11</f>
        <v>1490.4</v>
      </c>
      <c r="E16" s="38" t="n">
        <f aca="false">Assumptions!$C$8*Assumptions!$C$14*E8*E9*E10*E11</f>
        <v>2032.71428571429</v>
      </c>
      <c r="F16" s="38" t="n">
        <f aca="false">Assumptions!$C$8*Assumptions!$C$14*F8*F9*F10*F11</f>
        <v>2082.85714285714</v>
      </c>
      <c r="G16" s="38" t="n">
        <f aca="false">Assumptions!$C$8*Assumptions!$C$14*G8*G9*G10*G11</f>
        <v>2385.45</v>
      </c>
      <c r="H16" s="38" t="n">
        <f aca="false">Assumptions!$C$8*Assumptions!$C$14*H8*H9*H10*H11</f>
        <v>2430</v>
      </c>
      <c r="I16" s="38" t="n">
        <f aca="false">Assumptions!$C$8*Assumptions!$C$14*I8*I9*I10*I11</f>
        <v>2511</v>
      </c>
      <c r="J16" s="38" t="n">
        <f aca="false">Assumptions!$C$8*Assumptions!$C$14*J8*J9*J10*J11</f>
        <v>2463.17142857143</v>
      </c>
      <c r="K16" s="38" t="n">
        <f aca="false">Assumptions!$C$8*Assumptions!$C$14*K8*K9*K10*K11</f>
        <v>2314.28571428571</v>
      </c>
      <c r="L16" s="38" t="n">
        <f aca="false">Assumptions!$C$8*Assumptions!$C$14*L8*L9*L10*L11</f>
        <v>2391.42857142857</v>
      </c>
      <c r="M16" s="38" t="n">
        <f aca="false">Assumptions!$C$8*Assumptions!$C$14*M8*M9*M10*M11</f>
        <v>2268</v>
      </c>
      <c r="N16" s="38" t="n">
        <f aca="false">Assumptions!$C$8*Assumptions!$C$14*N8*N9*N10*N11</f>
        <v>2439.25714285714</v>
      </c>
      <c r="O16" s="38" t="n">
        <f aca="false">Assumptions!$C$8*Assumptions!$C$14*O8*O9*O10*O11</f>
        <v>2216.85428571429</v>
      </c>
      <c r="P16" s="38" t="n">
        <f aca="false">Assumptions!$C$8*Assumptions!$C$14*P8*P9*P10*P11</f>
        <v>2119.91657142857</v>
      </c>
      <c r="Q16" s="38" t="n">
        <f aca="false">Assumptions!$C$8*Assumptions!$C$14*Q8*Q9*Q10*Q11</f>
        <v>2463.17142857143</v>
      </c>
      <c r="R16" s="38" t="n">
        <f aca="false">Assumptions!$C$8*Assumptions!$C$14*R8*R9*R10*R11</f>
        <v>2383.71428571429</v>
      </c>
      <c r="S16" s="38" t="n">
        <f aca="false">Assumptions!$C$8*Assumptions!$C$14*S8*S9*S10*S11</f>
        <v>2586.33</v>
      </c>
      <c r="T16" s="38" t="n">
        <f aca="false">Assumptions!$C$8*Assumptions!$C$14*T8*T9*T10*T11</f>
        <v>2502.9</v>
      </c>
      <c r="U16" s="38" t="n">
        <f aca="false">Assumptions!$C$8*Assumptions!$C$14*U8*U9*U10*U11</f>
        <v>2586.33</v>
      </c>
      <c r="V16" s="38" t="n">
        <f aca="false">Assumptions!$C$8*Assumptions!$C$14*V8*V9*V10*V11</f>
        <v>2537.06657142857</v>
      </c>
      <c r="W16" s="38" t="n">
        <f aca="false">Assumptions!$C$8*Assumptions!$C$14*W8*W9*W10*W11</f>
        <v>2383.71428571429</v>
      </c>
      <c r="X16" s="38" t="n">
        <f aca="false">Assumptions!$C$8*Assumptions!$C$14*X8*X9*X10*X11</f>
        <v>2463.17142857143</v>
      </c>
      <c r="Y16" s="38" t="n">
        <f aca="false">Assumptions!$C$8*Assumptions!$C$14*Y8*Y9*Y10*Y11</f>
        <v>2336.04</v>
      </c>
      <c r="Z16" s="38" t="n">
        <f aca="false">Assumptions!$C$8*Assumptions!$C$14*Z8*Z9*Z10*Z11</f>
        <v>2512.43485714286</v>
      </c>
      <c r="AA16" s="38" t="n">
        <f aca="false">Assumptions!$C$8*Assumptions!$C$14*AA8*AA9*AA10*AA11</f>
        <v>2261.19137142857</v>
      </c>
      <c r="AB16" s="38" t="n">
        <f aca="false">Assumptions!$C$8*Assumptions!$C$14*AB8*AB9*AB10*AB11</f>
        <v>2087.75232</v>
      </c>
      <c r="AC16" s="38" t="n">
        <f aca="false">Assumptions!$C$8*Assumptions!$C$14*AC8*AC9*AC10*AC11</f>
        <v>2512.43485714286</v>
      </c>
      <c r="AD16" s="38" t="n">
        <f aca="false">Assumptions!$C$8*Assumptions!$C$14*AD8*AD9*AD10*AD11</f>
        <v>2431.38857142857</v>
      </c>
      <c r="AE16" s="38" t="n">
        <f aca="false">Assumptions!$C$8*Assumptions!$C$14*AE8*AE9*AE10*AE11</f>
        <v>2638.0566</v>
      </c>
      <c r="AF16" s="38" t="n">
        <f aca="false">Assumptions!$C$8*Assumptions!$C$14*AF8*AF9*AF10*AF11</f>
        <v>2552.958</v>
      </c>
      <c r="AG16" s="38" t="n">
        <f aca="false">Assumptions!$C$8*Assumptions!$C$14*AG8*AG9*AG10*AG11</f>
        <v>2638.0566</v>
      </c>
      <c r="AH16" s="38" t="n">
        <f aca="false">Assumptions!$C$8*Assumptions!$C$14*AH8*AH9*AH10*AH11</f>
        <v>2587.80790285714</v>
      </c>
      <c r="AI16" s="38" t="n">
        <f aca="false">Assumptions!$C$8*Assumptions!$C$14*AI8*AI9*AI10*AI11</f>
        <v>2431.38857142857</v>
      </c>
      <c r="AJ16" s="38" t="n">
        <f aca="false">Assumptions!$C$8*Assumptions!$C$14*AJ8*AJ9*AJ10*AJ11</f>
        <v>2512.43485714286</v>
      </c>
      <c r="AK16" s="38" t="n">
        <f aca="false">Assumptions!$C$8*Assumptions!$C$14*AK8*AK9*AK10*AK11</f>
        <v>2382.7608</v>
      </c>
      <c r="AL16" s="38" t="n">
        <f aca="false">Assumptions!$C$8*Assumptions!$C$14*AL8*AL9*AL10*AL11</f>
        <v>2562.68355428571</v>
      </c>
      <c r="AM16" s="39" t="n">
        <f aca="false">SUMIF($C$5:$AL$5,AM$5,$C16:$AL16)</f>
        <v>26207.55</v>
      </c>
      <c r="AN16" s="39" t="n">
        <f aca="false">SUMIF($C$5:$AL$5,AN$5,$C16:$AL16)</f>
        <v>29091.6437142857</v>
      </c>
      <c r="AO16" s="39" t="n">
        <f aca="false">SUMIF($C$5:$AL$5,AO$5,$C16:$AL16)</f>
        <v>29598.9140057143</v>
      </c>
    </row>
    <row r="17" customFormat="false" ht="15" hidden="false" customHeight="false" outlineLevel="0" collapsed="false">
      <c r="A17" s="7" t="s">
        <v>219</v>
      </c>
      <c r="B17" s="2" t="s">
        <v>217</v>
      </c>
      <c r="C17" s="38" t="n">
        <f aca="false">Assumptions!$C$8*Assumptions!$C$16*C8*C9*C10*C11</f>
        <v>279.797142857143</v>
      </c>
      <c r="D17" s="38" t="n">
        <f aca="false">Assumptions!$C$8*Assumptions!$C$16*D8*D9*D10*D11</f>
        <v>298.08</v>
      </c>
      <c r="E17" s="38" t="n">
        <f aca="false">Assumptions!$C$8*Assumptions!$C$16*E8*E9*E10*E11</f>
        <v>406.542857142857</v>
      </c>
      <c r="F17" s="38" t="n">
        <f aca="false">Assumptions!$C$8*Assumptions!$C$16*F8*F9*F10*F11</f>
        <v>416.571428571429</v>
      </c>
      <c r="G17" s="38" t="n">
        <f aca="false">Assumptions!$C$8*Assumptions!$C$16*G8*G9*G10*G11</f>
        <v>477.09</v>
      </c>
      <c r="H17" s="38" t="n">
        <f aca="false">Assumptions!$C$8*Assumptions!$C$16*H8*H9*H10*H11</f>
        <v>486</v>
      </c>
      <c r="I17" s="38" t="n">
        <f aca="false">Assumptions!$C$8*Assumptions!$C$16*I8*I9*I10*I11</f>
        <v>502.2</v>
      </c>
      <c r="J17" s="38" t="n">
        <f aca="false">Assumptions!$C$8*Assumptions!$C$16*J8*J9*J10*J11</f>
        <v>492.634285714286</v>
      </c>
      <c r="K17" s="38" t="n">
        <f aca="false">Assumptions!$C$8*Assumptions!$C$16*K8*K9*K10*K11</f>
        <v>462.857142857143</v>
      </c>
      <c r="L17" s="38" t="n">
        <f aca="false">Assumptions!$C$8*Assumptions!$C$16*L8*L9*L10*L11</f>
        <v>478.285714285714</v>
      </c>
      <c r="M17" s="38" t="n">
        <f aca="false">Assumptions!$C$8*Assumptions!$C$16*M8*M9*M10*M11</f>
        <v>453.6</v>
      </c>
      <c r="N17" s="38" t="n">
        <f aca="false">Assumptions!$C$8*Assumptions!$C$16*N8*N9*N10*N11</f>
        <v>487.851428571429</v>
      </c>
      <c r="O17" s="38" t="n">
        <f aca="false">Assumptions!$C$8*Assumptions!$C$16*O8*O9*O10*O11</f>
        <v>443.370857142857</v>
      </c>
      <c r="P17" s="38" t="n">
        <f aca="false">Assumptions!$C$8*Assumptions!$C$16*P8*P9*P10*P11</f>
        <v>423.983314285714</v>
      </c>
      <c r="Q17" s="38" t="n">
        <f aca="false">Assumptions!$C$8*Assumptions!$C$16*Q8*Q9*Q10*Q11</f>
        <v>492.634285714286</v>
      </c>
      <c r="R17" s="38" t="n">
        <f aca="false">Assumptions!$C$8*Assumptions!$C$16*R8*R9*R10*R11</f>
        <v>476.742857142857</v>
      </c>
      <c r="S17" s="38" t="n">
        <f aca="false">Assumptions!$C$8*Assumptions!$C$16*S8*S9*S10*S11</f>
        <v>517.266</v>
      </c>
      <c r="T17" s="38" t="n">
        <f aca="false">Assumptions!$C$8*Assumptions!$C$16*T8*T9*T10*T11</f>
        <v>500.58</v>
      </c>
      <c r="U17" s="38" t="n">
        <f aca="false">Assumptions!$C$8*Assumptions!$C$16*U8*U9*U10*U11</f>
        <v>517.266</v>
      </c>
      <c r="V17" s="38" t="n">
        <f aca="false">Assumptions!$C$8*Assumptions!$C$16*V8*V9*V10*V11</f>
        <v>507.413314285714</v>
      </c>
      <c r="W17" s="38" t="n">
        <f aca="false">Assumptions!$C$8*Assumptions!$C$16*W8*W9*W10*W11</f>
        <v>476.742857142857</v>
      </c>
      <c r="X17" s="38" t="n">
        <f aca="false">Assumptions!$C$8*Assumptions!$C$16*X8*X9*X10*X11</f>
        <v>492.634285714286</v>
      </c>
      <c r="Y17" s="38" t="n">
        <f aca="false">Assumptions!$C$8*Assumptions!$C$16*Y8*Y9*Y10*Y11</f>
        <v>467.208</v>
      </c>
      <c r="Z17" s="38" t="n">
        <f aca="false">Assumptions!$C$8*Assumptions!$C$16*Z8*Z9*Z10*Z11</f>
        <v>502.486971428572</v>
      </c>
      <c r="AA17" s="38" t="n">
        <f aca="false">Assumptions!$C$8*Assumptions!$C$16*AA8*AA9*AA10*AA11</f>
        <v>452.238274285714</v>
      </c>
      <c r="AB17" s="38" t="n">
        <f aca="false">Assumptions!$C$8*Assumptions!$C$16*AB8*AB9*AB10*AB11</f>
        <v>417.550464</v>
      </c>
      <c r="AC17" s="38" t="n">
        <f aca="false">Assumptions!$C$8*Assumptions!$C$16*AC8*AC9*AC10*AC11</f>
        <v>502.486971428571</v>
      </c>
      <c r="AD17" s="38" t="n">
        <f aca="false">Assumptions!$C$8*Assumptions!$C$16*AD8*AD9*AD10*AD11</f>
        <v>486.277714285714</v>
      </c>
      <c r="AE17" s="38" t="n">
        <f aca="false">Assumptions!$C$8*Assumptions!$C$16*AE8*AE9*AE10*AE11</f>
        <v>527.61132</v>
      </c>
      <c r="AF17" s="38" t="n">
        <f aca="false">Assumptions!$C$8*Assumptions!$C$16*AF8*AF9*AF10*AF11</f>
        <v>510.5916</v>
      </c>
      <c r="AG17" s="38" t="n">
        <f aca="false">Assumptions!$C$8*Assumptions!$C$16*AG8*AG9*AG10*AG11</f>
        <v>527.61132</v>
      </c>
      <c r="AH17" s="38" t="n">
        <f aca="false">Assumptions!$C$8*Assumptions!$C$16*AH8*AH9*AH10*AH11</f>
        <v>517.561580571429</v>
      </c>
      <c r="AI17" s="38" t="n">
        <f aca="false">Assumptions!$C$8*Assumptions!$C$16*AI8*AI9*AI10*AI11</f>
        <v>486.277714285714</v>
      </c>
      <c r="AJ17" s="38" t="n">
        <f aca="false">Assumptions!$C$8*Assumptions!$C$16*AJ8*AJ9*AJ10*AJ11</f>
        <v>502.486971428571</v>
      </c>
      <c r="AK17" s="38" t="n">
        <f aca="false">Assumptions!$C$8*Assumptions!$C$16*AK8*AK9*AK10*AK11</f>
        <v>476.55216</v>
      </c>
      <c r="AL17" s="38" t="n">
        <f aca="false">Assumptions!$C$8*Assumptions!$C$16*AL8*AL9*AL10*AL11</f>
        <v>512.536710857143</v>
      </c>
      <c r="AM17" s="39" t="n">
        <f aca="false">SUMIF($C$5:$AL$5,AM$5,$C17:$AL17)</f>
        <v>5241.51</v>
      </c>
      <c r="AN17" s="39" t="n">
        <f aca="false">SUMIF($C$5:$AL$5,AN$5,$C17:$AL17)</f>
        <v>5818.32874285714</v>
      </c>
      <c r="AO17" s="39" t="n">
        <f aca="false">SUMIF($C$5:$AL$5,AO$5,$C17:$AL17)</f>
        <v>5919.78280114286</v>
      </c>
    </row>
    <row r="18" customFormat="false" ht="15" hidden="false" customHeight="false" outlineLevel="0" collapsed="false">
      <c r="A18" s="40" t="s">
        <v>220</v>
      </c>
      <c r="B18" s="41" t="s">
        <v>217</v>
      </c>
      <c r="C18" s="42" t="n">
        <f aca="false">SUM(C15:C17)</f>
        <v>2424.90857142857</v>
      </c>
      <c r="D18" s="42" t="n">
        <f aca="false">SUM(D15:D17)</f>
        <v>2583.36</v>
      </c>
      <c r="E18" s="42" t="n">
        <f aca="false">SUM(E15:E17)</f>
        <v>3523.37142857143</v>
      </c>
      <c r="F18" s="42" t="n">
        <f aca="false">SUM(F15:F17)</f>
        <v>3610.28571428571</v>
      </c>
      <c r="G18" s="42" t="n">
        <f aca="false">SUM(G15:G17)</f>
        <v>4134.78</v>
      </c>
      <c r="H18" s="42" t="n">
        <f aca="false">SUM(H15:H17)</f>
        <v>4212</v>
      </c>
      <c r="I18" s="42" t="n">
        <f aca="false">SUM(I15:I17)</f>
        <v>4352.4</v>
      </c>
      <c r="J18" s="42" t="n">
        <f aca="false">SUM(J15:J17)</f>
        <v>4269.49714285714</v>
      </c>
      <c r="K18" s="42" t="n">
        <f aca="false">SUM(K15:K17)</f>
        <v>4011.42857142857</v>
      </c>
      <c r="L18" s="42" t="n">
        <f aca="false">SUM(L15:L17)</f>
        <v>4145.14285714286</v>
      </c>
      <c r="M18" s="42" t="n">
        <f aca="false">SUM(M15:M17)</f>
        <v>3931.2</v>
      </c>
      <c r="N18" s="42" t="n">
        <f aca="false">SUM(N15:N17)</f>
        <v>4228.04571428572</v>
      </c>
      <c r="O18" s="42" t="n">
        <f aca="false">SUM(O15:O17)</f>
        <v>3842.54742857143</v>
      </c>
      <c r="P18" s="42" t="n">
        <f aca="false">SUM(P15:P17)</f>
        <v>3674.52205714286</v>
      </c>
      <c r="Q18" s="42" t="n">
        <f aca="false">SUM(Q15:Q17)</f>
        <v>4269.49714285714</v>
      </c>
      <c r="R18" s="42" t="n">
        <f aca="false">SUM(R15:R17)</f>
        <v>4131.77142857143</v>
      </c>
      <c r="S18" s="42" t="n">
        <f aca="false">SUM(S15:S17)</f>
        <v>4482.972</v>
      </c>
      <c r="T18" s="42" t="n">
        <f aca="false">SUM(T15:T17)</f>
        <v>4338.36</v>
      </c>
      <c r="U18" s="42" t="n">
        <f aca="false">SUM(U15:U17)</f>
        <v>4482.972</v>
      </c>
      <c r="V18" s="42" t="n">
        <f aca="false">SUM(V15:V17)</f>
        <v>4397.58205714286</v>
      </c>
      <c r="W18" s="42" t="n">
        <f aca="false">SUM(W15:W17)</f>
        <v>4131.77142857143</v>
      </c>
      <c r="X18" s="42" t="n">
        <f aca="false">SUM(X15:X17)</f>
        <v>4269.49714285714</v>
      </c>
      <c r="Y18" s="42" t="n">
        <f aca="false">SUM(Y15:Y17)</f>
        <v>4049.136</v>
      </c>
      <c r="Z18" s="42" t="n">
        <f aca="false">SUM(Z15:Z17)</f>
        <v>4354.88708571429</v>
      </c>
      <c r="AA18" s="42" t="n">
        <f aca="false">SUM(AA15:AA17)</f>
        <v>3919.39837714286</v>
      </c>
      <c r="AB18" s="42" t="n">
        <f aca="false">SUM(AB15:AB17)</f>
        <v>3618.770688</v>
      </c>
      <c r="AC18" s="42" t="n">
        <f aca="false">SUM(AC15:AC17)</f>
        <v>4354.88708571429</v>
      </c>
      <c r="AD18" s="42" t="n">
        <f aca="false">SUM(AD15:AD17)</f>
        <v>4214.40685714286</v>
      </c>
      <c r="AE18" s="42" t="n">
        <f aca="false">SUM(AE15:AE17)</f>
        <v>4572.63144</v>
      </c>
      <c r="AF18" s="42" t="n">
        <f aca="false">SUM(AF15:AF17)</f>
        <v>4425.1272</v>
      </c>
      <c r="AG18" s="42" t="n">
        <f aca="false">SUM(AG15:AG17)</f>
        <v>4572.63144</v>
      </c>
      <c r="AH18" s="42" t="n">
        <f aca="false">SUM(AH15:AH17)</f>
        <v>4485.53369828571</v>
      </c>
      <c r="AI18" s="42" t="n">
        <f aca="false">SUM(AI15:AI17)</f>
        <v>4214.40685714286</v>
      </c>
      <c r="AJ18" s="42" t="n">
        <f aca="false">SUM(AJ15:AJ17)</f>
        <v>4354.88708571429</v>
      </c>
      <c r="AK18" s="42" t="n">
        <f aca="false">SUM(AK15:AK17)</f>
        <v>4130.11872</v>
      </c>
      <c r="AL18" s="42" t="n">
        <f aca="false">SUM(AL15:AL17)</f>
        <v>4441.98482742857</v>
      </c>
      <c r="AM18" s="43" t="n">
        <f aca="false">SUMIF($C$5:$AL$5,AM$5,$C18:$AL18)</f>
        <v>45426.42</v>
      </c>
      <c r="AN18" s="43" t="n">
        <f aca="false">SUMIF($C$5:$AL$5,AN$5,$C18:$AL18)</f>
        <v>50425.5157714286</v>
      </c>
      <c r="AO18" s="43" t="n">
        <f aca="false">SUMIF($C$5:$AL$5,AO$5,$C18:$AL18)</f>
        <v>51304.7842765714</v>
      </c>
    </row>
    <row r="19" customFormat="false" ht="15" hidden="false" customHeight="false" outlineLevel="0" collapsed="false">
      <c r="A19" s="7" t="s">
        <v>221</v>
      </c>
      <c r="B19" s="2" t="s">
        <v>217</v>
      </c>
      <c r="C19" s="25" t="n">
        <f aca="false">IF(C8=0,0,C18/C8)</f>
        <v>91.26</v>
      </c>
      <c r="D19" s="25" t="n">
        <f aca="false">IF(D8=0,0,D18/D8)</f>
        <v>107.64</v>
      </c>
      <c r="E19" s="25" t="n">
        <f aca="false">IF(E8=0,0,E18/E8)</f>
        <v>132.6</v>
      </c>
      <c r="F19" s="25" t="n">
        <f aca="false">IF(F8=0,0,F18/F8)</f>
        <v>140.4</v>
      </c>
      <c r="G19" s="25" t="n">
        <f aca="false">IF(G8=0,0,G18/G8)</f>
        <v>155.61</v>
      </c>
      <c r="H19" s="25" t="n">
        <f aca="false">IF(H8=0,0,H18/H8)</f>
        <v>163.8</v>
      </c>
      <c r="I19" s="25" t="n">
        <f aca="false">IF(I8=0,0,I18/I8)</f>
        <v>163.8</v>
      </c>
      <c r="J19" s="25" t="n">
        <f aca="false">IF(J8=0,0,J18/J8)</f>
        <v>160.68</v>
      </c>
      <c r="K19" s="25" t="n">
        <f aca="false">IF(K8=0,0,K18/K8)</f>
        <v>156</v>
      </c>
      <c r="L19" s="25" t="n">
        <f aca="false">IF(L8=0,0,L18/L8)</f>
        <v>156</v>
      </c>
      <c r="M19" s="25" t="n">
        <f aca="false">IF(M8=0,0,M18/M8)</f>
        <v>152.88</v>
      </c>
      <c r="N19" s="25" t="n">
        <f aca="false">IF(N8=0,0,N18/N8)</f>
        <v>159.12</v>
      </c>
      <c r="O19" s="25" t="n">
        <f aca="false">IF(O8=0,0,O18/O8)</f>
        <v>144.612</v>
      </c>
      <c r="P19" s="25" t="n">
        <f aca="false">IF(P8=0,0,P18/P8)</f>
        <v>147.8256</v>
      </c>
      <c r="Q19" s="25" t="n">
        <f aca="false">IF(Q8=0,0,Q18/Q8)</f>
        <v>160.68</v>
      </c>
      <c r="R19" s="25" t="n">
        <f aca="false">IF(R8=0,0,R18/R8)</f>
        <v>160.68</v>
      </c>
      <c r="S19" s="25" t="n">
        <f aca="false">IF(S8=0,0,S18/S8)</f>
        <v>168.714</v>
      </c>
      <c r="T19" s="25" t="n">
        <f aca="false">IF(T8=0,0,T18/T8)</f>
        <v>168.714</v>
      </c>
      <c r="U19" s="25" t="n">
        <f aca="false">IF(U8=0,0,U18/U8)</f>
        <v>168.714</v>
      </c>
      <c r="V19" s="25" t="n">
        <f aca="false">IF(V8=0,0,V18/V8)</f>
        <v>165.5004</v>
      </c>
      <c r="W19" s="25" t="n">
        <f aca="false">IF(W8=0,0,W18/W8)</f>
        <v>160.68</v>
      </c>
      <c r="X19" s="25" t="n">
        <f aca="false">IF(X8=0,0,X18/X8)</f>
        <v>160.68</v>
      </c>
      <c r="Y19" s="25" t="n">
        <f aca="false">IF(Y8=0,0,Y18/Y8)</f>
        <v>157.4664</v>
      </c>
      <c r="Z19" s="25" t="n">
        <f aca="false">IF(Z8=0,0,Z18/Z8)</f>
        <v>163.8936</v>
      </c>
      <c r="AA19" s="25" t="n">
        <f aca="false">IF(AA8=0,0,AA18/AA8)</f>
        <v>147.50424</v>
      </c>
      <c r="AB19" s="25" t="n">
        <f aca="false">IF(AB8=0,0,AB18/AB8)</f>
        <v>150.782112</v>
      </c>
      <c r="AC19" s="25" t="n">
        <f aca="false">IF(AC8=0,0,AC18/AC8)</f>
        <v>163.8936</v>
      </c>
      <c r="AD19" s="25" t="n">
        <f aca="false">IF(AD8=0,0,AD18/AD8)</f>
        <v>163.8936</v>
      </c>
      <c r="AE19" s="25" t="n">
        <f aca="false">IF(AE8=0,0,AE18/AE8)</f>
        <v>172.08828</v>
      </c>
      <c r="AF19" s="25" t="n">
        <f aca="false">IF(AF8=0,0,AF18/AF8)</f>
        <v>172.08828</v>
      </c>
      <c r="AG19" s="25" t="n">
        <f aca="false">IF(AG8=0,0,AG18/AG8)</f>
        <v>172.08828</v>
      </c>
      <c r="AH19" s="25" t="n">
        <f aca="false">IF(AH8=0,0,AH18/AH8)</f>
        <v>168.810408</v>
      </c>
      <c r="AI19" s="25" t="n">
        <f aca="false">IF(AI8=0,0,AI18/AI8)</f>
        <v>163.8936</v>
      </c>
      <c r="AJ19" s="25" t="n">
        <f aca="false">IF(AJ8=0,0,AJ18/AJ8)</f>
        <v>163.8936</v>
      </c>
      <c r="AK19" s="25" t="n">
        <f aca="false">IF(AK8=0,0,AK18/AK8)</f>
        <v>160.615728</v>
      </c>
      <c r="AL19" s="25" t="n">
        <f aca="false">IF(AL8=0,0,AL18/AL8)</f>
        <v>167.171472</v>
      </c>
      <c r="AM19" s="36" t="n">
        <f aca="false">IF(AM8=0,0,AM18/AM8)</f>
        <v>145.198602739726</v>
      </c>
      <c r="AN19" s="36" t="n">
        <f aca="false">IF(AN8=0,0,AN18/AN8)</f>
        <v>160.737072131148</v>
      </c>
      <c r="AO19" s="36" t="n">
        <f aca="false">IF(AO8=0,0,AO18/AO8)</f>
        <v>163.987894947945</v>
      </c>
    </row>
    <row r="21" customFormat="false" ht="15" hidden="false" customHeight="false" outlineLevel="0" collapsed="false">
      <c r="A21" s="34" t="s">
        <v>222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</row>
    <row r="22" customFormat="false" ht="15" hidden="false" customHeight="false" outlineLevel="0" collapsed="false">
      <c r="A22" s="7" t="s">
        <v>223</v>
      </c>
      <c r="B22" s="2"/>
      <c r="C22" s="28" t="n">
        <f aca="false">C15*Assumptions!$C$13*C12</f>
        <v>13430.2628571429</v>
      </c>
      <c r="D22" s="28" t="n">
        <f aca="false">D15*Assumptions!$C$13*D12</f>
        <v>14307.84</v>
      </c>
      <c r="E22" s="28" t="n">
        <f aca="false">E15*Assumptions!$C$13*E12</f>
        <v>19514.0571428571</v>
      </c>
      <c r="F22" s="28" t="n">
        <f aca="false">F15*Assumptions!$C$13*F12</f>
        <v>19995.4285714286</v>
      </c>
      <c r="G22" s="28" t="n">
        <f aca="false">G15*Assumptions!$C$13*G12</f>
        <v>22900.32</v>
      </c>
      <c r="H22" s="28" t="n">
        <f aca="false">H15*Assumptions!$C$13*H12</f>
        <v>23328</v>
      </c>
      <c r="I22" s="28" t="n">
        <f aca="false">I15*Assumptions!$C$13*I12</f>
        <v>24105.6</v>
      </c>
      <c r="J22" s="28" t="n">
        <f aca="false">J15*Assumptions!$C$13*J12</f>
        <v>23646.4457142857</v>
      </c>
      <c r="K22" s="28" t="n">
        <f aca="false">K15*Assumptions!$C$13*K12</f>
        <v>22217.1428571429</v>
      </c>
      <c r="L22" s="28" t="n">
        <f aca="false">L15*Assumptions!$C$13*L12</f>
        <v>22957.7142857143</v>
      </c>
      <c r="M22" s="28" t="n">
        <f aca="false">M15*Assumptions!$C$13*M12</f>
        <v>21772.8</v>
      </c>
      <c r="N22" s="28" t="n">
        <f aca="false">N15*Assumptions!$C$13*N12</f>
        <v>23416.8685714286</v>
      </c>
      <c r="O22" s="28" t="n">
        <f aca="false">O15*Assumptions!$C$13*O12</f>
        <v>21920.2551771429</v>
      </c>
      <c r="P22" s="28" t="n">
        <f aca="false">P15*Assumptions!$C$13*P12</f>
        <v>20961.7350582857</v>
      </c>
      <c r="Q22" s="28" t="n">
        <f aca="false">Q15*Assumptions!$C$13*Q12</f>
        <v>24355.8390857143</v>
      </c>
      <c r="R22" s="28" t="n">
        <f aca="false">R15*Assumptions!$C$13*R12</f>
        <v>23570.1668571429</v>
      </c>
      <c r="S22" s="28" t="n">
        <f aca="false">S15*Assumptions!$C$13*S12</f>
        <v>25573.63104</v>
      </c>
      <c r="T22" s="28" t="n">
        <f aca="false">T15*Assumptions!$C$13*T12</f>
        <v>24748.6752</v>
      </c>
      <c r="U22" s="28" t="n">
        <f aca="false">U15*Assumptions!$C$13*U12</f>
        <v>25573.63104</v>
      </c>
      <c r="V22" s="28" t="n">
        <f aca="false">V15*Assumptions!$C$13*V12</f>
        <v>25086.5142582857</v>
      </c>
      <c r="W22" s="28" t="n">
        <f aca="false">W15*Assumptions!$C$13*W12</f>
        <v>23570.1668571429</v>
      </c>
      <c r="X22" s="28" t="n">
        <f aca="false">X15*Assumptions!$C$13*X12</f>
        <v>24355.8390857143</v>
      </c>
      <c r="Y22" s="28" t="n">
        <f aca="false">Y15*Assumptions!$C$13*Y12</f>
        <v>23098.76352</v>
      </c>
      <c r="Z22" s="28" t="n">
        <f aca="false">Z15*Assumptions!$C$13*Z12</f>
        <v>24842.9558674286</v>
      </c>
      <c r="AA22" s="28" t="n">
        <f aca="false">AA15*Assumptions!$C$13*AA12</f>
        <v>23029.4200891063</v>
      </c>
      <c r="AB22" s="28" t="n">
        <f aca="false">AB15*Assumptions!$C$13*AB12</f>
        <v>21263.0057883648</v>
      </c>
      <c r="AC22" s="28" t="n">
        <f aca="false">AC15*Assumptions!$C$13*AC12</f>
        <v>25588.2445434514</v>
      </c>
      <c r="AD22" s="28" t="n">
        <f aca="false">AD15*Assumptions!$C$13*AD12</f>
        <v>24762.8173001143</v>
      </c>
      <c r="AE22" s="28" t="n">
        <f aca="false">AE15*Assumptions!$C$13*AE12</f>
        <v>26867.656770624</v>
      </c>
      <c r="AF22" s="28" t="n">
        <f aca="false">AF15*Assumptions!$C$13*AF12</f>
        <v>26000.95816512</v>
      </c>
      <c r="AG22" s="28" t="n">
        <f aca="false">AG15*Assumptions!$C$13*AG12</f>
        <v>26867.656770624</v>
      </c>
      <c r="AH22" s="28" t="n">
        <f aca="false">AH15*Assumptions!$C$13*AH12</f>
        <v>26355.891879755</v>
      </c>
      <c r="AI22" s="28" t="n">
        <f aca="false">AI15*Assumptions!$C$13*AI12</f>
        <v>24762.8173001143</v>
      </c>
      <c r="AJ22" s="28" t="n">
        <f aca="false">AJ15*Assumptions!$C$13*AJ12</f>
        <v>25588.2445434514</v>
      </c>
      <c r="AK22" s="28" t="n">
        <f aca="false">AK15*Assumptions!$C$13*AK12</f>
        <v>24267.560954112</v>
      </c>
      <c r="AL22" s="28" t="n">
        <f aca="false">AL15*Assumptions!$C$13*AL12</f>
        <v>26100.0094343205</v>
      </c>
      <c r="AM22" s="44" t="n">
        <f aca="false">SUMIF($C$5:$AL$5,AM$5,$C22:$AL22)</f>
        <v>251592.48</v>
      </c>
      <c r="AN22" s="44" t="n">
        <f aca="false">SUMIF($C$5:$AL$5,AN$5,$C22:$AL22)</f>
        <v>287658.173046857</v>
      </c>
      <c r="AO22" s="44" t="n">
        <f aca="false">SUMIF($C$5:$AL$5,AO$5,$C22:$AL22)</f>
        <v>301454.283539158</v>
      </c>
    </row>
    <row r="23" customFormat="false" ht="15" hidden="false" customHeight="false" outlineLevel="0" collapsed="false">
      <c r="A23" s="7" t="s">
        <v>224</v>
      </c>
      <c r="B23" s="2"/>
      <c r="C23" s="28" t="n">
        <f aca="false">C16*Assumptions!$C$15*C12</f>
        <v>47565.5142857143</v>
      </c>
      <c r="D23" s="28" t="n">
        <f aca="false">D16*Assumptions!$C$15*D12</f>
        <v>50673.6</v>
      </c>
      <c r="E23" s="28" t="n">
        <f aca="false">E16*Assumptions!$C$15*E12</f>
        <v>69112.2857142857</v>
      </c>
      <c r="F23" s="28" t="n">
        <f aca="false">F16*Assumptions!$C$15*F12</f>
        <v>70817.1428571429</v>
      </c>
      <c r="G23" s="28" t="n">
        <f aca="false">G16*Assumptions!$C$15*G12</f>
        <v>81105.3</v>
      </c>
      <c r="H23" s="28" t="n">
        <f aca="false">H16*Assumptions!$C$15*H12</f>
        <v>82620</v>
      </c>
      <c r="I23" s="28" t="n">
        <f aca="false">I16*Assumptions!$C$15*I12</f>
        <v>85374</v>
      </c>
      <c r="J23" s="28" t="n">
        <f aca="false">J16*Assumptions!$C$15*J12</f>
        <v>83747.8285714286</v>
      </c>
      <c r="K23" s="28" t="n">
        <f aca="false">K16*Assumptions!$C$15*K12</f>
        <v>78685.7142857143</v>
      </c>
      <c r="L23" s="28" t="n">
        <f aca="false">L16*Assumptions!$C$15*L12</f>
        <v>81308.5714285714</v>
      </c>
      <c r="M23" s="28" t="n">
        <f aca="false">M16*Assumptions!$C$15*M12</f>
        <v>77112</v>
      </c>
      <c r="N23" s="28" t="n">
        <f aca="false">N16*Assumptions!$C$15*N12</f>
        <v>82934.7428571429</v>
      </c>
      <c r="O23" s="28" t="n">
        <f aca="false">O16*Assumptions!$C$15*O12</f>
        <v>77634.2370857143</v>
      </c>
      <c r="P23" s="28" t="n">
        <f aca="false">P16*Assumptions!$C$15*P12</f>
        <v>74239.4783314286</v>
      </c>
      <c r="Q23" s="28" t="n">
        <f aca="false">Q16*Assumptions!$C$15*Q12</f>
        <v>86260.2634285714</v>
      </c>
      <c r="R23" s="28" t="n">
        <f aca="false">R16*Assumptions!$C$15*R12</f>
        <v>83477.6742857143</v>
      </c>
      <c r="S23" s="28" t="n">
        <f aca="false">S16*Assumptions!$C$15*S12</f>
        <v>90573.2766</v>
      </c>
      <c r="T23" s="28" t="n">
        <f aca="false">T16*Assumptions!$C$15*T12</f>
        <v>87651.558</v>
      </c>
      <c r="U23" s="28" t="n">
        <f aca="false">U16*Assumptions!$C$15*U12</f>
        <v>90573.2766</v>
      </c>
      <c r="V23" s="28" t="n">
        <f aca="false">V16*Assumptions!$C$15*V12</f>
        <v>88848.0713314286</v>
      </c>
      <c r="W23" s="28" t="n">
        <f aca="false">W16*Assumptions!$C$15*W12</f>
        <v>83477.6742857143</v>
      </c>
      <c r="X23" s="28" t="n">
        <f aca="false">X16*Assumptions!$C$15*X12</f>
        <v>86260.2634285714</v>
      </c>
      <c r="Y23" s="28" t="n">
        <f aca="false">Y16*Assumptions!$C$15*Y12</f>
        <v>81808.1208</v>
      </c>
      <c r="Z23" s="28" t="n">
        <f aca="false">Z16*Assumptions!$C$15*Z12</f>
        <v>87985.4686971429</v>
      </c>
      <c r="AA23" s="28" t="n">
        <f aca="false">AA16*Assumptions!$C$15*AA12</f>
        <v>81562.5294822514</v>
      </c>
      <c r="AB23" s="28" t="n">
        <f aca="false">AB16*Assumptions!$C$15*AB12</f>
        <v>75306.478833792</v>
      </c>
      <c r="AC23" s="28" t="n">
        <f aca="false">AC16*Assumptions!$C$15*AC12</f>
        <v>90625.0327580572</v>
      </c>
      <c r="AD23" s="28" t="n">
        <f aca="false">AD16*Assumptions!$C$15*AD12</f>
        <v>87701.6446045714</v>
      </c>
      <c r="AE23" s="28" t="n">
        <f aca="false">AE16*Assumptions!$C$15*AE12</f>
        <v>95156.28439596</v>
      </c>
      <c r="AF23" s="28" t="n">
        <f aca="false">AF16*Assumptions!$C$15*AF12</f>
        <v>92086.7268348</v>
      </c>
      <c r="AG23" s="28" t="n">
        <f aca="false">AG16*Assumptions!$C$15*AG12</f>
        <v>95156.28439596</v>
      </c>
      <c r="AH23" s="28" t="n">
        <f aca="false">AH16*Assumptions!$C$15*AH12</f>
        <v>93343.7837407989</v>
      </c>
      <c r="AI23" s="28" t="n">
        <f aca="false">AI16*Assumptions!$C$15*AI12</f>
        <v>87701.6446045714</v>
      </c>
      <c r="AJ23" s="28" t="n">
        <f aca="false">AJ16*Assumptions!$C$15*AJ12</f>
        <v>90625.0327580572</v>
      </c>
      <c r="AK23" s="28" t="n">
        <f aca="false">AK16*Assumptions!$C$15*AK12</f>
        <v>85947.61171248</v>
      </c>
      <c r="AL23" s="28" t="n">
        <f aca="false">AL16*Assumptions!$C$15*AL12</f>
        <v>92437.5334132183</v>
      </c>
      <c r="AM23" s="44" t="n">
        <f aca="false">SUMIF($C$5:$AL$5,AM$5,$C23:$AL23)</f>
        <v>891056.7</v>
      </c>
      <c r="AN23" s="44" t="n">
        <f aca="false">SUMIF($C$5:$AL$5,AN$5,$C23:$AL23)</f>
        <v>1018789.36287429</v>
      </c>
      <c r="AO23" s="44" t="n">
        <f aca="false">SUMIF($C$5:$AL$5,AO$5,$C23:$AL23)</f>
        <v>1067650.58753452</v>
      </c>
    </row>
    <row r="24" customFormat="false" ht="15" hidden="false" customHeight="false" outlineLevel="0" collapsed="false">
      <c r="A24" s="7" t="s">
        <v>225</v>
      </c>
      <c r="B24" s="2"/>
      <c r="C24" s="28" t="n">
        <f aca="false">C17*Assumptions!$C$17*C12</f>
        <v>4196.95714285714</v>
      </c>
      <c r="D24" s="28" t="n">
        <f aca="false">D17*Assumptions!$C$17*D12</f>
        <v>4471.2</v>
      </c>
      <c r="E24" s="28" t="n">
        <f aca="false">E17*Assumptions!$C$17*E12</f>
        <v>6098.14285714286</v>
      </c>
      <c r="F24" s="28" t="n">
        <f aca="false">F17*Assumptions!$C$17*F12</f>
        <v>6248.57142857143</v>
      </c>
      <c r="G24" s="28" t="n">
        <f aca="false">G17*Assumptions!$C$17*G12</f>
        <v>7156.35</v>
      </c>
      <c r="H24" s="28" t="n">
        <f aca="false">H17*Assumptions!$C$17*H12</f>
        <v>7290</v>
      </c>
      <c r="I24" s="28" t="n">
        <f aca="false">I17*Assumptions!$C$17*I12</f>
        <v>7533</v>
      </c>
      <c r="J24" s="28" t="n">
        <f aca="false">J17*Assumptions!$C$17*J12</f>
        <v>7389.51428571429</v>
      </c>
      <c r="K24" s="28" t="n">
        <f aca="false">K17*Assumptions!$C$17*K12</f>
        <v>6942.85714285714</v>
      </c>
      <c r="L24" s="28" t="n">
        <f aca="false">L17*Assumptions!$C$17*L12</f>
        <v>7174.28571428572</v>
      </c>
      <c r="M24" s="28" t="n">
        <f aca="false">M17*Assumptions!$C$17*M12</f>
        <v>6804</v>
      </c>
      <c r="N24" s="28" t="n">
        <f aca="false">N17*Assumptions!$C$17*N12</f>
        <v>7317.77142857143</v>
      </c>
      <c r="O24" s="28" t="n">
        <f aca="false">O17*Assumptions!$C$17*O12</f>
        <v>6850.07974285715</v>
      </c>
      <c r="P24" s="28" t="n">
        <f aca="false">P17*Assumptions!$C$17*P12</f>
        <v>6550.54220571429</v>
      </c>
      <c r="Q24" s="28" t="n">
        <f aca="false">Q17*Assumptions!$C$17*Q12</f>
        <v>7611.19971428572</v>
      </c>
      <c r="R24" s="28" t="n">
        <f aca="false">R17*Assumptions!$C$17*R12</f>
        <v>7365.67714285714</v>
      </c>
      <c r="S24" s="28" t="n">
        <f aca="false">S17*Assumptions!$C$17*S12</f>
        <v>7991.7597</v>
      </c>
      <c r="T24" s="28" t="n">
        <f aca="false">T17*Assumptions!$C$17*T12</f>
        <v>7733.961</v>
      </c>
      <c r="U24" s="28" t="n">
        <f aca="false">U17*Assumptions!$C$17*U12</f>
        <v>7991.7597</v>
      </c>
      <c r="V24" s="28" t="n">
        <f aca="false">V17*Assumptions!$C$17*V12</f>
        <v>7839.53570571429</v>
      </c>
      <c r="W24" s="28" t="n">
        <f aca="false">W17*Assumptions!$C$17*W12</f>
        <v>7365.67714285714</v>
      </c>
      <c r="X24" s="28" t="n">
        <f aca="false">X17*Assumptions!$C$17*X12</f>
        <v>7611.19971428572</v>
      </c>
      <c r="Y24" s="28" t="n">
        <f aca="false">Y17*Assumptions!$C$17*Y12</f>
        <v>7218.3636</v>
      </c>
      <c r="Z24" s="28" t="n">
        <f aca="false">Z17*Assumptions!$C$17*Z12</f>
        <v>7763.42370857143</v>
      </c>
      <c r="AA24" s="28" t="n">
        <f aca="false">AA17*Assumptions!$C$17*AA12</f>
        <v>7196.69377784572</v>
      </c>
      <c r="AB24" s="28" t="n">
        <f aca="false">AB17*Assumptions!$C$17*AB12</f>
        <v>6644.689308864</v>
      </c>
      <c r="AC24" s="28" t="n">
        <f aca="false">AC17*Assumptions!$C$17*AC12</f>
        <v>7996.32641982857</v>
      </c>
      <c r="AD24" s="28" t="n">
        <f aca="false">AD17*Assumptions!$C$17*AD12</f>
        <v>7738.38040628571</v>
      </c>
      <c r="AE24" s="28" t="n">
        <f aca="false">AE17*Assumptions!$C$17*AE12</f>
        <v>8396.14274082</v>
      </c>
      <c r="AF24" s="28" t="n">
        <f aca="false">AF17*Assumptions!$C$17*AF12</f>
        <v>8125.2994266</v>
      </c>
      <c r="AG24" s="28" t="n">
        <f aca="false">AG17*Assumptions!$C$17*AG12</f>
        <v>8396.14274082</v>
      </c>
      <c r="AH24" s="28" t="n">
        <f aca="false">AH17*Assumptions!$C$17*AH12</f>
        <v>8236.21621242343</v>
      </c>
      <c r="AI24" s="28" t="n">
        <f aca="false">AI17*Assumptions!$C$17*AI12</f>
        <v>7738.38040628571</v>
      </c>
      <c r="AJ24" s="28" t="n">
        <f aca="false">AJ17*Assumptions!$C$17*AJ12</f>
        <v>7996.32641982857</v>
      </c>
      <c r="AK24" s="28" t="n">
        <f aca="false">AK17*Assumptions!$C$17*AK12</f>
        <v>7583.61279816</v>
      </c>
      <c r="AL24" s="28" t="n">
        <f aca="false">AL17*Assumptions!$C$17*AL12</f>
        <v>8156.25294822514</v>
      </c>
      <c r="AM24" s="44" t="n">
        <f aca="false">SUMIF($C$5:$AL$5,AM$5,$C24:$AL24)</f>
        <v>78622.65</v>
      </c>
      <c r="AN24" s="44" t="n">
        <f aca="false">SUMIF($C$5:$AL$5,AN$5,$C24:$AL24)</f>
        <v>89893.1790771429</v>
      </c>
      <c r="AO24" s="44" t="n">
        <f aca="false">SUMIF($C$5:$AL$5,AO$5,$C24:$AL24)</f>
        <v>94204.4636059869</v>
      </c>
    </row>
    <row r="25" customFormat="false" ht="15" hidden="false" customHeight="false" outlineLevel="0" collapsed="false">
      <c r="A25" s="40" t="s">
        <v>226</v>
      </c>
      <c r="B25" s="41"/>
      <c r="C25" s="45" t="n">
        <f aca="false">SUM(C22:C24)</f>
        <v>65192.7342857143</v>
      </c>
      <c r="D25" s="45" t="n">
        <f aca="false">SUM(D22:D24)</f>
        <v>69452.64</v>
      </c>
      <c r="E25" s="45" t="n">
        <f aca="false">SUM(E22:E24)</f>
        <v>94724.4857142857</v>
      </c>
      <c r="F25" s="45" t="n">
        <f aca="false">SUM(F22:F24)</f>
        <v>97061.1428571429</v>
      </c>
      <c r="G25" s="45" t="n">
        <f aca="false">SUM(G22:G24)</f>
        <v>111161.97</v>
      </c>
      <c r="H25" s="45" t="n">
        <f aca="false">SUM(H22:H24)</f>
        <v>113238</v>
      </c>
      <c r="I25" s="45" t="n">
        <f aca="false">SUM(I22:I24)</f>
        <v>117012.6</v>
      </c>
      <c r="J25" s="45" t="n">
        <f aca="false">SUM(J22:J24)</f>
        <v>114783.788571429</v>
      </c>
      <c r="K25" s="45" t="n">
        <f aca="false">SUM(K22:K24)</f>
        <v>107845.714285714</v>
      </c>
      <c r="L25" s="45" t="n">
        <f aca="false">SUM(L22:L24)</f>
        <v>111440.571428571</v>
      </c>
      <c r="M25" s="45" t="n">
        <f aca="false">SUM(M22:M24)</f>
        <v>105688.8</v>
      </c>
      <c r="N25" s="45" t="n">
        <f aca="false">SUM(N22:N24)</f>
        <v>113669.382857143</v>
      </c>
      <c r="O25" s="45" t="n">
        <f aca="false">SUM(O22:O24)</f>
        <v>106404.572005714</v>
      </c>
      <c r="P25" s="45" t="n">
        <f aca="false">SUM(P22:P24)</f>
        <v>101751.755595429</v>
      </c>
      <c r="Q25" s="45" t="n">
        <f aca="false">SUM(Q22:Q24)</f>
        <v>118227.302228571</v>
      </c>
      <c r="R25" s="45" t="n">
        <f aca="false">SUM(R22:R24)</f>
        <v>114413.518285714</v>
      </c>
      <c r="S25" s="45" t="n">
        <f aca="false">SUM(S22:S24)</f>
        <v>124138.66734</v>
      </c>
      <c r="T25" s="45" t="n">
        <f aca="false">SUM(T22:T24)</f>
        <v>120134.1942</v>
      </c>
      <c r="U25" s="45" t="n">
        <f aca="false">SUM(U22:U24)</f>
        <v>124138.66734</v>
      </c>
      <c r="V25" s="45" t="n">
        <f aca="false">SUM(V22:V24)</f>
        <v>121774.121295429</v>
      </c>
      <c r="W25" s="45" t="n">
        <f aca="false">SUM(W22:W24)</f>
        <v>114413.518285714</v>
      </c>
      <c r="X25" s="45" t="n">
        <f aca="false">SUM(X22:X24)</f>
        <v>118227.302228571</v>
      </c>
      <c r="Y25" s="45" t="n">
        <f aca="false">SUM(Y22:Y24)</f>
        <v>112125.24792</v>
      </c>
      <c r="Z25" s="45" t="n">
        <f aca="false">SUM(Z22:Z24)</f>
        <v>120591.848273143</v>
      </c>
      <c r="AA25" s="45" t="n">
        <f aca="false">SUM(AA22:AA24)</f>
        <v>111788.643349203</v>
      </c>
      <c r="AB25" s="45" t="n">
        <f aca="false">SUM(AB22:AB24)</f>
        <v>103214.173931021</v>
      </c>
      <c r="AC25" s="45" t="n">
        <f aca="false">SUM(AC22:AC24)</f>
        <v>124209.603721337</v>
      </c>
      <c r="AD25" s="45" t="n">
        <f aca="false">SUM(AD22:AD24)</f>
        <v>120202.842310971</v>
      </c>
      <c r="AE25" s="45" t="n">
        <f aca="false">SUM(AE22:AE24)</f>
        <v>130420.083907404</v>
      </c>
      <c r="AF25" s="45" t="n">
        <f aca="false">SUM(AF22:AF24)</f>
        <v>126212.98442652</v>
      </c>
      <c r="AG25" s="45" t="n">
        <f aca="false">SUM(AG22:AG24)</f>
        <v>130420.083907404</v>
      </c>
      <c r="AH25" s="45" t="n">
        <f aca="false">SUM(AH22:AH24)</f>
        <v>127935.891832977</v>
      </c>
      <c r="AI25" s="45" t="n">
        <f aca="false">SUM(AI22:AI24)</f>
        <v>120202.842310971</v>
      </c>
      <c r="AJ25" s="45" t="n">
        <f aca="false">SUM(AJ22:AJ24)</f>
        <v>124209.603721337</v>
      </c>
      <c r="AK25" s="45" t="n">
        <f aca="false">SUM(AK22:AK24)</f>
        <v>117798.785464752</v>
      </c>
      <c r="AL25" s="45" t="n">
        <f aca="false">SUM(AL22:AL24)</f>
        <v>126693.795795764</v>
      </c>
      <c r="AM25" s="46" t="n">
        <f aca="false">SUMIF($C$5:$AL$5,AM$5,$C25:$AL25)</f>
        <v>1221271.83</v>
      </c>
      <c r="AN25" s="46" t="n">
        <f aca="false">SUMIF($C$5:$AL$5,AN$5,$C25:$AL25)</f>
        <v>1396340.71499829</v>
      </c>
      <c r="AO25" s="46" t="n">
        <f aca="false">SUMIF($C$5:$AL$5,AO$5,$C25:$AL25)</f>
        <v>1463309.33467966</v>
      </c>
    </row>
    <row r="26" customFormat="false" ht="15" hidden="false" customHeight="false" outlineLevel="0" collapsed="false">
      <c r="A26" s="7" t="s">
        <v>227</v>
      </c>
      <c r="B26" s="2"/>
      <c r="C26" s="28" t="n">
        <f aca="false">C25*Assumptions!$C$18</f>
        <v>7823.12811428572</v>
      </c>
      <c r="D26" s="28" t="n">
        <f aca="false">D25*Assumptions!$C$18</f>
        <v>8334.3168</v>
      </c>
      <c r="E26" s="28" t="n">
        <f aca="false">E25*Assumptions!$C$18</f>
        <v>11366.9382857143</v>
      </c>
      <c r="F26" s="28" t="n">
        <f aca="false">F25*Assumptions!$C$18</f>
        <v>11647.3371428571</v>
      </c>
      <c r="G26" s="28" t="n">
        <f aca="false">G25*Assumptions!$C$18</f>
        <v>13339.4364</v>
      </c>
      <c r="H26" s="28" t="n">
        <f aca="false">H25*Assumptions!$C$18</f>
        <v>13588.56</v>
      </c>
      <c r="I26" s="28" t="n">
        <f aca="false">I25*Assumptions!$C$18</f>
        <v>14041.512</v>
      </c>
      <c r="J26" s="28" t="n">
        <f aca="false">J25*Assumptions!$C$18</f>
        <v>13774.0546285714</v>
      </c>
      <c r="K26" s="28" t="n">
        <f aca="false">K25*Assumptions!$C$18</f>
        <v>12941.4857142857</v>
      </c>
      <c r="L26" s="28" t="n">
        <f aca="false">L25*Assumptions!$C$18</f>
        <v>13372.8685714286</v>
      </c>
      <c r="M26" s="28" t="n">
        <f aca="false">M25*Assumptions!$C$18</f>
        <v>12682.656</v>
      </c>
      <c r="N26" s="28" t="n">
        <f aca="false">N25*Assumptions!$C$18</f>
        <v>13640.3259428571</v>
      </c>
      <c r="O26" s="28" t="n">
        <f aca="false">O25*Assumptions!$C$18</f>
        <v>12768.5486406857</v>
      </c>
      <c r="P26" s="28" t="n">
        <f aca="false">P25*Assumptions!$C$18</f>
        <v>12210.2106714514</v>
      </c>
      <c r="Q26" s="28" t="n">
        <f aca="false">Q25*Assumptions!$C$18</f>
        <v>14187.2762674286</v>
      </c>
      <c r="R26" s="28" t="n">
        <f aca="false">R25*Assumptions!$C$18</f>
        <v>13729.6221942857</v>
      </c>
      <c r="S26" s="28" t="n">
        <f aca="false">S25*Assumptions!$C$18</f>
        <v>14896.6400808</v>
      </c>
      <c r="T26" s="28" t="n">
        <f aca="false">T25*Assumptions!$C$18</f>
        <v>14416.103304</v>
      </c>
      <c r="U26" s="28" t="n">
        <f aca="false">U25*Assumptions!$C$18</f>
        <v>14896.6400808</v>
      </c>
      <c r="V26" s="28" t="n">
        <f aca="false">V25*Assumptions!$C$18</f>
        <v>14612.8945554514</v>
      </c>
      <c r="W26" s="28" t="n">
        <f aca="false">W25*Assumptions!$C$18</f>
        <v>13729.6221942857</v>
      </c>
      <c r="X26" s="28" t="n">
        <f aca="false">X25*Assumptions!$C$18</f>
        <v>14187.2762674286</v>
      </c>
      <c r="Y26" s="28" t="n">
        <f aca="false">Y25*Assumptions!$C$18</f>
        <v>13455.0297504</v>
      </c>
      <c r="Z26" s="28" t="n">
        <f aca="false">Z25*Assumptions!$C$18</f>
        <v>14471.0217927771</v>
      </c>
      <c r="AA26" s="28" t="n">
        <f aca="false">AA25*Assumptions!$C$18</f>
        <v>13414.6372019044</v>
      </c>
      <c r="AB26" s="28" t="n">
        <f aca="false">AB25*Assumptions!$C$18</f>
        <v>12385.7008717225</v>
      </c>
      <c r="AC26" s="28" t="n">
        <f aca="false">AC25*Assumptions!$C$18</f>
        <v>14905.1524465605</v>
      </c>
      <c r="AD26" s="28" t="n">
        <f aca="false">AD25*Assumptions!$C$18</f>
        <v>14424.3410773166</v>
      </c>
      <c r="AE26" s="28" t="n">
        <f aca="false">AE25*Assumptions!$C$18</f>
        <v>15650.4100688885</v>
      </c>
      <c r="AF26" s="28" t="n">
        <f aca="false">AF25*Assumptions!$C$18</f>
        <v>15145.5581311824</v>
      </c>
      <c r="AG26" s="28" t="n">
        <f aca="false">AG25*Assumptions!$C$18</f>
        <v>15650.4100688885</v>
      </c>
      <c r="AH26" s="28" t="n">
        <f aca="false">AH25*Assumptions!$C$18</f>
        <v>15352.3070199573</v>
      </c>
      <c r="AI26" s="28" t="n">
        <f aca="false">AI25*Assumptions!$C$18</f>
        <v>14424.3410773166</v>
      </c>
      <c r="AJ26" s="28" t="n">
        <f aca="false">AJ25*Assumptions!$C$18</f>
        <v>14905.1524465605</v>
      </c>
      <c r="AK26" s="28" t="n">
        <f aca="false">AK25*Assumptions!$C$18</f>
        <v>14135.8542557702</v>
      </c>
      <c r="AL26" s="28" t="n">
        <f aca="false">AL25*Assumptions!$C$18</f>
        <v>15203.2554954917</v>
      </c>
      <c r="AM26" s="44" t="n">
        <f aca="false">SUMIF($C$5:$AL$5,AM$5,$C26:$AL26)</f>
        <v>146552.6196</v>
      </c>
      <c r="AN26" s="44" t="n">
        <f aca="false">SUMIF($C$5:$AL$5,AN$5,$C26:$AL26)</f>
        <v>167560.885799794</v>
      </c>
      <c r="AO26" s="44" t="n">
        <f aca="false">SUMIF($C$5:$AL$5,AO$5,$C26:$AL26)</f>
        <v>175597.12016156</v>
      </c>
    </row>
    <row r="27" customFormat="false" ht="15" hidden="false" customHeight="false" outlineLevel="0" collapsed="false">
      <c r="A27" s="40" t="s">
        <v>228</v>
      </c>
      <c r="B27" s="41"/>
      <c r="C27" s="45" t="n">
        <f aca="false">C25+C26</f>
        <v>73015.8624</v>
      </c>
      <c r="D27" s="45" t="n">
        <f aca="false">D25+D26</f>
        <v>77786.9568</v>
      </c>
      <c r="E27" s="45" t="n">
        <f aca="false">E25+E26</f>
        <v>106091.424</v>
      </c>
      <c r="F27" s="45" t="n">
        <f aca="false">F25+F26</f>
        <v>108708.48</v>
      </c>
      <c r="G27" s="45" t="n">
        <f aca="false">G25+G26</f>
        <v>124501.4064</v>
      </c>
      <c r="H27" s="45" t="n">
        <f aca="false">H25+H26</f>
        <v>126826.56</v>
      </c>
      <c r="I27" s="45" t="n">
        <f aca="false">I25+I26</f>
        <v>131054.112</v>
      </c>
      <c r="J27" s="45" t="n">
        <f aca="false">J25+J26</f>
        <v>128557.8432</v>
      </c>
      <c r="K27" s="45" t="n">
        <f aca="false">K25+K26</f>
        <v>120787.2</v>
      </c>
      <c r="L27" s="45" t="n">
        <f aca="false">L25+L26</f>
        <v>124813.44</v>
      </c>
      <c r="M27" s="45" t="n">
        <f aca="false">M25+M26</f>
        <v>118371.456</v>
      </c>
      <c r="N27" s="45" t="n">
        <f aca="false">N25+N26</f>
        <v>127309.7088</v>
      </c>
      <c r="O27" s="45" t="n">
        <f aca="false">O25+O26</f>
        <v>119173.1206464</v>
      </c>
      <c r="P27" s="45" t="n">
        <f aca="false">P25+P26</f>
        <v>113961.96626688</v>
      </c>
      <c r="Q27" s="45" t="n">
        <f aca="false">Q25+Q26</f>
        <v>132414.578496</v>
      </c>
      <c r="R27" s="45" t="n">
        <f aca="false">R25+R26</f>
        <v>128143.14048</v>
      </c>
      <c r="S27" s="45" t="n">
        <f aca="false">S25+S26</f>
        <v>139035.3074208</v>
      </c>
      <c r="T27" s="45" t="n">
        <f aca="false">T25+T26</f>
        <v>134550.297504</v>
      </c>
      <c r="U27" s="45" t="n">
        <f aca="false">U25+U26</f>
        <v>139035.3074208</v>
      </c>
      <c r="V27" s="45" t="n">
        <f aca="false">V25+V26</f>
        <v>136387.01585088</v>
      </c>
      <c r="W27" s="45" t="n">
        <f aca="false">W25+W26</f>
        <v>128143.14048</v>
      </c>
      <c r="X27" s="45" t="n">
        <f aca="false">X25+X26</f>
        <v>132414.578496</v>
      </c>
      <c r="Y27" s="45" t="n">
        <f aca="false">Y25+Y26</f>
        <v>125580.2776704</v>
      </c>
      <c r="Z27" s="45" t="n">
        <f aca="false">Z25+Z26</f>
        <v>135062.87006592</v>
      </c>
      <c r="AA27" s="45" t="n">
        <f aca="false">AA25+AA26</f>
        <v>125203.280551108</v>
      </c>
      <c r="AB27" s="45" t="n">
        <f aca="false">AB25+AB26</f>
        <v>115599.874802743</v>
      </c>
      <c r="AC27" s="45" t="n">
        <f aca="false">AC25+AC26</f>
        <v>139114.756167898</v>
      </c>
      <c r="AD27" s="45" t="n">
        <f aca="false">AD25+AD26</f>
        <v>134627.183388288</v>
      </c>
      <c r="AE27" s="45" t="n">
        <f aca="false">AE25+AE26</f>
        <v>146070.493976293</v>
      </c>
      <c r="AF27" s="45" t="n">
        <f aca="false">AF25+AF26</f>
        <v>141358.542557702</v>
      </c>
      <c r="AG27" s="45" t="n">
        <f aca="false">AG25+AG26</f>
        <v>146070.493976293</v>
      </c>
      <c r="AH27" s="45" t="n">
        <f aca="false">AH25+AH26</f>
        <v>143288.198852935</v>
      </c>
      <c r="AI27" s="45" t="n">
        <f aca="false">AI25+AI26</f>
        <v>134627.183388288</v>
      </c>
      <c r="AJ27" s="45" t="n">
        <f aca="false">AJ25+AJ26</f>
        <v>139114.756167898</v>
      </c>
      <c r="AK27" s="45" t="n">
        <f aca="false">AK25+AK26</f>
        <v>131934.639720522</v>
      </c>
      <c r="AL27" s="45" t="n">
        <f aca="false">AL25+AL26</f>
        <v>141897.051291256</v>
      </c>
      <c r="AM27" s="46" t="n">
        <f aca="false">SUMIF($C$5:$AL$5,AM$5,$C27:$AL27)</f>
        <v>1367824.4496</v>
      </c>
      <c r="AN27" s="46" t="n">
        <f aca="false">SUMIF($C$5:$AL$5,AN$5,$C27:$AL27)</f>
        <v>1563901.60079808</v>
      </c>
      <c r="AO27" s="46" t="n">
        <f aca="false">SUMIF($C$5:$AL$5,AO$5,$C27:$AL27)</f>
        <v>1638906.45484122</v>
      </c>
    </row>
    <row r="29" customFormat="false" ht="15" hidden="false" customHeight="false" outlineLevel="0" collapsed="false">
      <c r="A29" s="7" t="s">
        <v>229</v>
      </c>
      <c r="B29" s="2"/>
      <c r="C29" s="28" t="n">
        <f aca="false">C27*Assumptions!$C$23</f>
        <v>54761.8968</v>
      </c>
      <c r="D29" s="28" t="n">
        <f aca="false">D27*Assumptions!$C$23</f>
        <v>58340.2176</v>
      </c>
      <c r="E29" s="28" t="n">
        <f aca="false">E27*Assumptions!$C$23</f>
        <v>79568.568</v>
      </c>
      <c r="F29" s="28" t="n">
        <f aca="false">F27*Assumptions!$C$23</f>
        <v>81531.36</v>
      </c>
      <c r="G29" s="28" t="n">
        <f aca="false">G27*Assumptions!$C$23</f>
        <v>93376.0548</v>
      </c>
      <c r="H29" s="28" t="n">
        <f aca="false">H27*Assumptions!$C$23</f>
        <v>95119.92</v>
      </c>
      <c r="I29" s="28" t="n">
        <f aca="false">I27*Assumptions!$C$23</f>
        <v>98290.584</v>
      </c>
      <c r="J29" s="28" t="n">
        <f aca="false">J27*Assumptions!$C$23</f>
        <v>96418.3824</v>
      </c>
      <c r="K29" s="28" t="n">
        <f aca="false">K27*Assumptions!$C$23</f>
        <v>90590.4</v>
      </c>
      <c r="L29" s="28" t="n">
        <f aca="false">L27*Assumptions!$C$23</f>
        <v>93610.08</v>
      </c>
      <c r="M29" s="28" t="n">
        <f aca="false">M27*Assumptions!$C$23</f>
        <v>88778.592</v>
      </c>
      <c r="N29" s="28" t="n">
        <f aca="false">N27*Assumptions!$C$23</f>
        <v>95482.2816</v>
      </c>
      <c r="O29" s="28" t="n">
        <f aca="false">O27*Assumptions!$C$23</f>
        <v>89379.8404848</v>
      </c>
      <c r="P29" s="28" t="n">
        <f aca="false">P27*Assumptions!$C$23</f>
        <v>85471.47470016</v>
      </c>
      <c r="Q29" s="28" t="n">
        <f aca="false">Q27*Assumptions!$C$23</f>
        <v>99310.933872</v>
      </c>
      <c r="R29" s="28" t="n">
        <f aca="false">R27*Assumptions!$C$23</f>
        <v>96107.35536</v>
      </c>
      <c r="S29" s="28" t="n">
        <f aca="false">S27*Assumptions!$C$23</f>
        <v>104276.4805656</v>
      </c>
      <c r="T29" s="28" t="n">
        <f aca="false">T27*Assumptions!$C$23</f>
        <v>100912.723128</v>
      </c>
      <c r="U29" s="28" t="n">
        <f aca="false">U27*Assumptions!$C$23</f>
        <v>104276.4805656</v>
      </c>
      <c r="V29" s="28" t="n">
        <f aca="false">V27*Assumptions!$C$23</f>
        <v>102290.26188816</v>
      </c>
      <c r="W29" s="28" t="n">
        <f aca="false">W27*Assumptions!$C$23</f>
        <v>96107.35536</v>
      </c>
      <c r="X29" s="28" t="n">
        <f aca="false">X27*Assumptions!$C$23</f>
        <v>99310.933872</v>
      </c>
      <c r="Y29" s="28" t="n">
        <f aca="false">Y27*Assumptions!$C$23</f>
        <v>94185.2082528</v>
      </c>
      <c r="Z29" s="28" t="n">
        <f aca="false">Z27*Assumptions!$C$23</f>
        <v>101297.15254944</v>
      </c>
      <c r="AA29" s="28" t="n">
        <f aca="false">AA27*Assumptions!$C$23</f>
        <v>93902.4604133309</v>
      </c>
      <c r="AB29" s="28" t="n">
        <f aca="false">AB27*Assumptions!$C$23</f>
        <v>86699.9061020575</v>
      </c>
      <c r="AC29" s="28" t="n">
        <f aca="false">AC27*Assumptions!$C$23</f>
        <v>104336.067125923</v>
      </c>
      <c r="AD29" s="28" t="n">
        <f aca="false">AD27*Assumptions!$C$23</f>
        <v>100970.387541216</v>
      </c>
      <c r="AE29" s="28" t="n">
        <f aca="false">AE27*Assumptions!$C$23</f>
        <v>109552.870482219</v>
      </c>
      <c r="AF29" s="28" t="n">
        <f aca="false">AF27*Assumptions!$C$23</f>
        <v>106018.906918277</v>
      </c>
      <c r="AG29" s="28" t="n">
        <f aca="false">AG27*Assumptions!$C$23</f>
        <v>109552.870482219</v>
      </c>
      <c r="AH29" s="28" t="n">
        <f aca="false">AH27*Assumptions!$C$23</f>
        <v>107466.149139701</v>
      </c>
      <c r="AI29" s="28" t="n">
        <f aca="false">AI27*Assumptions!$C$23</f>
        <v>100970.387541216</v>
      </c>
      <c r="AJ29" s="28" t="n">
        <f aca="false">AJ27*Assumptions!$C$23</f>
        <v>104336.067125923</v>
      </c>
      <c r="AK29" s="28" t="n">
        <f aca="false">AK27*Assumptions!$C$23</f>
        <v>98950.9797903917</v>
      </c>
      <c r="AL29" s="28" t="n">
        <f aca="false">AL27*Assumptions!$C$23</f>
        <v>106422.788468442</v>
      </c>
      <c r="AM29" s="44" t="n">
        <f aca="false">SUMIF($C$5:$AL$5,AM$5,$C29:$AL29)</f>
        <v>1025868.3372</v>
      </c>
      <c r="AN29" s="44" t="n">
        <f aca="false">SUMIF($C$5:$AL$5,AN$5,$C29:$AL29)</f>
        <v>1172926.20059856</v>
      </c>
      <c r="AO29" s="44" t="n">
        <f aca="false">SUMIF($C$5:$AL$5,AO$5,$C29:$AL29)</f>
        <v>1229179.84113092</v>
      </c>
    </row>
    <row r="30" customFormat="false" ht="15" hidden="false" customHeight="false" outlineLevel="0" collapsed="false">
      <c r="A30" s="7" t="s">
        <v>230</v>
      </c>
      <c r="B30" s="2"/>
      <c r="C30" s="28" t="n">
        <f aca="false">C27*(1-Assumptions!$C$23)</f>
        <v>18253.9656</v>
      </c>
      <c r="D30" s="28" t="n">
        <f aca="false">D27*(1-Assumptions!$C$23)</f>
        <v>19446.7392</v>
      </c>
      <c r="E30" s="28" t="n">
        <f aca="false">E27*(1-Assumptions!$C$23)</f>
        <v>26522.856</v>
      </c>
      <c r="F30" s="28" t="n">
        <f aca="false">F27*(1-Assumptions!$C$23)</f>
        <v>27177.12</v>
      </c>
      <c r="G30" s="28" t="n">
        <f aca="false">G27*(1-Assumptions!$C$23)</f>
        <v>31125.3516</v>
      </c>
      <c r="H30" s="28" t="n">
        <f aca="false">H27*(1-Assumptions!$C$23)</f>
        <v>31706.64</v>
      </c>
      <c r="I30" s="28" t="n">
        <f aca="false">I27*(1-Assumptions!$C$23)</f>
        <v>32763.528</v>
      </c>
      <c r="J30" s="28" t="n">
        <f aca="false">J27*(1-Assumptions!$C$23)</f>
        <v>32139.4608</v>
      </c>
      <c r="K30" s="28" t="n">
        <f aca="false">K27*(1-Assumptions!$C$23)</f>
        <v>30196.8</v>
      </c>
      <c r="L30" s="28" t="n">
        <f aca="false">L27*(1-Assumptions!$C$23)</f>
        <v>31203.36</v>
      </c>
      <c r="M30" s="28" t="n">
        <f aca="false">M27*(1-Assumptions!$C$23)</f>
        <v>29592.864</v>
      </c>
      <c r="N30" s="28" t="n">
        <f aca="false">N27*(1-Assumptions!$C$23)</f>
        <v>31827.4272</v>
      </c>
      <c r="O30" s="28" t="n">
        <f aca="false">O27*(1-Assumptions!$C$23)</f>
        <v>29793.2801616</v>
      </c>
      <c r="P30" s="28" t="n">
        <f aca="false">P27*(1-Assumptions!$C$23)</f>
        <v>28490.49156672</v>
      </c>
      <c r="Q30" s="28" t="n">
        <f aca="false">Q27*(1-Assumptions!$C$23)</f>
        <v>33103.644624</v>
      </c>
      <c r="R30" s="28" t="n">
        <f aca="false">R27*(1-Assumptions!$C$23)</f>
        <v>32035.78512</v>
      </c>
      <c r="S30" s="28" t="n">
        <f aca="false">S27*(1-Assumptions!$C$23)</f>
        <v>34758.8268552</v>
      </c>
      <c r="T30" s="28" t="n">
        <f aca="false">T27*(1-Assumptions!$C$23)</f>
        <v>33637.574376</v>
      </c>
      <c r="U30" s="28" t="n">
        <f aca="false">U27*(1-Assumptions!$C$23)</f>
        <v>34758.8268552</v>
      </c>
      <c r="V30" s="28" t="n">
        <f aca="false">V27*(1-Assumptions!$C$23)</f>
        <v>34096.75396272</v>
      </c>
      <c r="W30" s="28" t="n">
        <f aca="false">W27*(1-Assumptions!$C$23)</f>
        <v>32035.78512</v>
      </c>
      <c r="X30" s="28" t="n">
        <f aca="false">X27*(1-Assumptions!$C$23)</f>
        <v>33103.644624</v>
      </c>
      <c r="Y30" s="28" t="n">
        <f aca="false">Y27*(1-Assumptions!$C$23)</f>
        <v>31395.0694176</v>
      </c>
      <c r="Z30" s="28" t="n">
        <f aca="false">Z27*(1-Assumptions!$C$23)</f>
        <v>33765.71751648</v>
      </c>
      <c r="AA30" s="28" t="n">
        <f aca="false">AA27*(1-Assumptions!$C$23)</f>
        <v>31300.820137777</v>
      </c>
      <c r="AB30" s="28" t="n">
        <f aca="false">AB27*(1-Assumptions!$C$23)</f>
        <v>28899.9687006858</v>
      </c>
      <c r="AC30" s="28" t="n">
        <f aca="false">AC27*(1-Assumptions!$C$23)</f>
        <v>34778.6890419744</v>
      </c>
      <c r="AD30" s="28" t="n">
        <f aca="false">AD27*(1-Assumptions!$C$23)</f>
        <v>33656.795847072</v>
      </c>
      <c r="AE30" s="28" t="n">
        <f aca="false">AE27*(1-Assumptions!$C$23)</f>
        <v>36517.6234940731</v>
      </c>
      <c r="AF30" s="28" t="n">
        <f aca="false">AF27*(1-Assumptions!$C$23)</f>
        <v>35339.6356394256</v>
      </c>
      <c r="AG30" s="28" t="n">
        <f aca="false">AG27*(1-Assumptions!$C$23)</f>
        <v>36517.6234940731</v>
      </c>
      <c r="AH30" s="28" t="n">
        <f aca="false">AH27*(1-Assumptions!$C$23)</f>
        <v>35822.0497132336</v>
      </c>
      <c r="AI30" s="28" t="n">
        <f aca="false">AI27*(1-Assumptions!$C$23)</f>
        <v>33656.795847072</v>
      </c>
      <c r="AJ30" s="28" t="n">
        <f aca="false">AJ27*(1-Assumptions!$C$23)</f>
        <v>34778.6890419744</v>
      </c>
      <c r="AK30" s="28" t="n">
        <f aca="false">AK27*(1-Assumptions!$C$23)</f>
        <v>32983.6599301306</v>
      </c>
      <c r="AL30" s="28" t="n">
        <f aca="false">AL27*(1-Assumptions!$C$23)</f>
        <v>35474.2628228139</v>
      </c>
      <c r="AM30" s="44" t="n">
        <f aca="false">SUMIF($C$5:$AL$5,AM$5,$C30:$AL30)</f>
        <v>341956.1124</v>
      </c>
      <c r="AN30" s="44" t="n">
        <f aca="false">SUMIF($C$5:$AL$5,AN$5,$C30:$AL30)</f>
        <v>390975.40019952</v>
      </c>
      <c r="AO30" s="44" t="n">
        <f aca="false">SUMIF($C$5:$AL$5,AO$5,$C30:$AL30)</f>
        <v>409726.613710306</v>
      </c>
    </row>
    <row r="31" customFormat="false" ht="15" hidden="false" customHeight="false" outlineLevel="0" collapsed="false">
      <c r="A31" s="7" t="s">
        <v>231</v>
      </c>
      <c r="B31" s="2" t="s">
        <v>80</v>
      </c>
      <c r="C31" s="27" t="n">
        <f aca="false">IF(C18=0,0,C25/C18)</f>
        <v>26.8846153846154</v>
      </c>
      <c r="D31" s="27" t="n">
        <f aca="false">IF(D18=0,0,D25/D18)</f>
        <v>26.8846153846154</v>
      </c>
      <c r="E31" s="27" t="n">
        <f aca="false">IF(E18=0,0,E25/E18)</f>
        <v>26.8846153846154</v>
      </c>
      <c r="F31" s="27" t="n">
        <f aca="false">IF(F18=0,0,F25/F18)</f>
        <v>26.8846153846154</v>
      </c>
      <c r="G31" s="27" t="n">
        <f aca="false">IF(G18=0,0,G25/G18)</f>
        <v>26.8846153846154</v>
      </c>
      <c r="H31" s="27" t="n">
        <f aca="false">IF(H18=0,0,H25/H18)</f>
        <v>26.8846153846154</v>
      </c>
      <c r="I31" s="27" t="n">
        <f aca="false">IF(I18=0,0,I25/I18)</f>
        <v>26.8846153846154</v>
      </c>
      <c r="J31" s="27" t="n">
        <f aca="false">IF(J18=0,0,J25/J18)</f>
        <v>26.8846153846154</v>
      </c>
      <c r="K31" s="27" t="n">
        <f aca="false">IF(K18=0,0,K25/K18)</f>
        <v>26.8846153846154</v>
      </c>
      <c r="L31" s="27" t="n">
        <f aca="false">IF(L18=0,0,L25/L18)</f>
        <v>26.8846153846154</v>
      </c>
      <c r="M31" s="27" t="n">
        <f aca="false">IF(M18=0,0,M25/M18)</f>
        <v>26.8846153846154</v>
      </c>
      <c r="N31" s="27" t="n">
        <f aca="false">IF(N18=0,0,N25/N18)</f>
        <v>26.8846153846154</v>
      </c>
      <c r="O31" s="27" t="n">
        <f aca="false">IF(O18=0,0,O25/O18)</f>
        <v>27.6911538461538</v>
      </c>
      <c r="P31" s="27" t="n">
        <f aca="false">IF(P18=0,0,P25/P18)</f>
        <v>27.6911538461539</v>
      </c>
      <c r="Q31" s="27" t="n">
        <f aca="false">IF(Q18=0,0,Q25/Q18)</f>
        <v>27.6911538461538</v>
      </c>
      <c r="R31" s="27" t="n">
        <f aca="false">IF(R18=0,0,R25/R18)</f>
        <v>27.6911538461538</v>
      </c>
      <c r="S31" s="27" t="n">
        <f aca="false">IF(S18=0,0,S25/S18)</f>
        <v>27.6911538461538</v>
      </c>
      <c r="T31" s="27" t="n">
        <f aca="false">IF(T18=0,0,T25/T18)</f>
        <v>27.6911538461538</v>
      </c>
      <c r="U31" s="27" t="n">
        <f aca="false">IF(U18=0,0,U25/U18)</f>
        <v>27.6911538461538</v>
      </c>
      <c r="V31" s="27" t="n">
        <f aca="false">IF(V18=0,0,V25/V18)</f>
        <v>27.6911538461539</v>
      </c>
      <c r="W31" s="27" t="n">
        <f aca="false">IF(W18=0,0,W25/W18)</f>
        <v>27.6911538461538</v>
      </c>
      <c r="X31" s="27" t="n">
        <f aca="false">IF(X18=0,0,X25/X18)</f>
        <v>27.6911538461538</v>
      </c>
      <c r="Y31" s="27" t="n">
        <f aca="false">IF(Y18=0,0,Y25/Y18)</f>
        <v>27.6911538461538</v>
      </c>
      <c r="Z31" s="27" t="n">
        <f aca="false">IF(Z18=0,0,Z25/Z18)</f>
        <v>27.6911538461538</v>
      </c>
      <c r="AA31" s="27" t="n">
        <f aca="false">IF(AA18=0,0,AA25/AA18)</f>
        <v>28.5218884615385</v>
      </c>
      <c r="AB31" s="27" t="n">
        <f aca="false">IF(AB18=0,0,AB25/AB18)</f>
        <v>28.5218884615385</v>
      </c>
      <c r="AC31" s="27" t="n">
        <f aca="false">IF(AC18=0,0,AC25/AC18)</f>
        <v>28.5218884615385</v>
      </c>
      <c r="AD31" s="27" t="n">
        <f aca="false">IF(AD18=0,0,AD25/AD18)</f>
        <v>28.5218884615385</v>
      </c>
      <c r="AE31" s="27" t="n">
        <f aca="false">IF(AE18=0,0,AE25/AE18)</f>
        <v>28.5218884615385</v>
      </c>
      <c r="AF31" s="27" t="n">
        <f aca="false">IF(AF18=0,0,AF25/AF18)</f>
        <v>28.5218884615385</v>
      </c>
      <c r="AG31" s="27" t="n">
        <f aca="false">IF(AG18=0,0,AG25/AG18)</f>
        <v>28.5218884615385</v>
      </c>
      <c r="AH31" s="27" t="n">
        <f aca="false">IF(AH18=0,0,AH25/AH18)</f>
        <v>28.5218884615385</v>
      </c>
      <c r="AI31" s="27" t="n">
        <f aca="false">IF(AI18=0,0,AI25/AI18)</f>
        <v>28.5218884615385</v>
      </c>
      <c r="AJ31" s="27" t="n">
        <f aca="false">IF(AJ18=0,0,AJ25/AJ18)</f>
        <v>28.5218884615385</v>
      </c>
      <c r="AK31" s="27" t="n">
        <f aca="false">IF(AK18=0,0,AK25/AK18)</f>
        <v>28.5218884615385</v>
      </c>
      <c r="AL31" s="27" t="n">
        <f aca="false">IF(AL18=0,0,AL25/AL18)</f>
        <v>28.5218884615385</v>
      </c>
      <c r="AM31" s="47" t="n">
        <f aca="false">IF(AM18=0,0,AM25/AM18)</f>
        <v>26.8846153846154</v>
      </c>
      <c r="AN31" s="47" t="n">
        <f aca="false">IF(AN18=0,0,AN25/AN18)</f>
        <v>27.6911538461538</v>
      </c>
      <c r="AO31" s="47" t="n">
        <f aca="false">IF(AO18=0,0,AO25/AO18)</f>
        <v>28.5218884615385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4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O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8" min="3" style="0" width="11"/>
    <col collapsed="false" customWidth="true" hidden="false" outlineLevel="0" max="41" min="39" style="0" width="13"/>
  </cols>
  <sheetData>
    <row r="1" customFormat="false" ht="17.35" hidden="false" customHeight="false" outlineLevel="0" collapsed="false">
      <c r="A1" s="1" t="s">
        <v>232</v>
      </c>
    </row>
    <row r="2" customFormat="false" ht="15" hidden="false" customHeight="false" outlineLevel="0" collapsed="false">
      <c r="A2" s="2" t="s">
        <v>233</v>
      </c>
    </row>
    <row r="4" customFormat="false" ht="15" hidden="false" customHeight="false" outlineLevel="0" collapsed="false">
      <c r="A4" s="3" t="s">
        <v>202</v>
      </c>
      <c r="C4" s="29" t="n">
        <v>1</v>
      </c>
      <c r="D4" s="29" t="n">
        <v>2</v>
      </c>
      <c r="E4" s="29" t="n">
        <v>3</v>
      </c>
      <c r="F4" s="29" t="n">
        <v>4</v>
      </c>
      <c r="G4" s="29" t="n">
        <v>5</v>
      </c>
      <c r="H4" s="29" t="n">
        <v>6</v>
      </c>
      <c r="I4" s="29" t="n">
        <v>7</v>
      </c>
      <c r="J4" s="29" t="n">
        <v>8</v>
      </c>
      <c r="K4" s="29" t="n">
        <v>9</v>
      </c>
      <c r="L4" s="29" t="n">
        <v>10</v>
      </c>
      <c r="M4" s="29" t="n">
        <v>11</v>
      </c>
      <c r="N4" s="29" t="n">
        <v>12</v>
      </c>
      <c r="O4" s="29" t="n">
        <v>13</v>
      </c>
      <c r="P4" s="29" t="n">
        <v>14</v>
      </c>
      <c r="Q4" s="29" t="n">
        <v>15</v>
      </c>
      <c r="R4" s="29" t="n">
        <v>16</v>
      </c>
      <c r="S4" s="29" t="n">
        <v>17</v>
      </c>
      <c r="T4" s="29" t="n">
        <v>18</v>
      </c>
      <c r="U4" s="29" t="n">
        <v>19</v>
      </c>
      <c r="V4" s="29" t="n">
        <v>20</v>
      </c>
      <c r="W4" s="29" t="n">
        <v>21</v>
      </c>
      <c r="X4" s="29" t="n">
        <v>22</v>
      </c>
      <c r="Y4" s="29" t="n">
        <v>23</v>
      </c>
      <c r="Z4" s="29" t="n">
        <v>24</v>
      </c>
      <c r="AA4" s="29" t="n">
        <v>25</v>
      </c>
      <c r="AB4" s="29" t="n">
        <v>26</v>
      </c>
      <c r="AC4" s="29" t="n">
        <v>27</v>
      </c>
      <c r="AD4" s="29" t="n">
        <v>28</v>
      </c>
      <c r="AE4" s="29" t="n">
        <v>29</v>
      </c>
      <c r="AF4" s="29" t="n">
        <v>30</v>
      </c>
      <c r="AG4" s="29" t="n">
        <v>31</v>
      </c>
      <c r="AH4" s="29" t="n">
        <v>32</v>
      </c>
      <c r="AI4" s="29" t="n">
        <v>33</v>
      </c>
      <c r="AJ4" s="29" t="n">
        <v>34</v>
      </c>
      <c r="AK4" s="29" t="n">
        <v>35</v>
      </c>
      <c r="AL4" s="29" t="n">
        <v>36</v>
      </c>
      <c r="AM4" s="30" t="s">
        <v>203</v>
      </c>
      <c r="AN4" s="30" t="s">
        <v>203</v>
      </c>
      <c r="AO4" s="30" t="s">
        <v>203</v>
      </c>
    </row>
    <row r="5" customFormat="false" ht="15" hidden="false" customHeight="false" outlineLevel="0" collapsed="false">
      <c r="A5" s="3" t="s">
        <v>204</v>
      </c>
      <c r="C5" s="31" t="n">
        <f aca="false">INT((C4-1)/12)+1</f>
        <v>1</v>
      </c>
      <c r="D5" s="31" t="n">
        <f aca="false">INT((D4-1)/12)+1</f>
        <v>1</v>
      </c>
      <c r="E5" s="31" t="n">
        <f aca="false">INT((E4-1)/12)+1</f>
        <v>1</v>
      </c>
      <c r="F5" s="31" t="n">
        <f aca="false">INT((F4-1)/12)+1</f>
        <v>1</v>
      </c>
      <c r="G5" s="31" t="n">
        <f aca="false">INT((G4-1)/12)+1</f>
        <v>1</v>
      </c>
      <c r="H5" s="31" t="n">
        <f aca="false">INT((H4-1)/12)+1</f>
        <v>1</v>
      </c>
      <c r="I5" s="31" t="n">
        <f aca="false">INT((I4-1)/12)+1</f>
        <v>1</v>
      </c>
      <c r="J5" s="31" t="n">
        <f aca="false">INT((J4-1)/12)+1</f>
        <v>1</v>
      </c>
      <c r="K5" s="31" t="n">
        <f aca="false">INT((K4-1)/12)+1</f>
        <v>1</v>
      </c>
      <c r="L5" s="31" t="n">
        <f aca="false">INT((L4-1)/12)+1</f>
        <v>1</v>
      </c>
      <c r="M5" s="31" t="n">
        <f aca="false">INT((M4-1)/12)+1</f>
        <v>1</v>
      </c>
      <c r="N5" s="31" t="n">
        <f aca="false">INT((N4-1)/12)+1</f>
        <v>1</v>
      </c>
      <c r="O5" s="31" t="n">
        <f aca="false">INT((O4-1)/12)+1</f>
        <v>2</v>
      </c>
      <c r="P5" s="31" t="n">
        <f aca="false">INT((P4-1)/12)+1</f>
        <v>2</v>
      </c>
      <c r="Q5" s="31" t="n">
        <f aca="false">INT((Q4-1)/12)+1</f>
        <v>2</v>
      </c>
      <c r="R5" s="31" t="n">
        <f aca="false">INT((R4-1)/12)+1</f>
        <v>2</v>
      </c>
      <c r="S5" s="31" t="n">
        <f aca="false">INT((S4-1)/12)+1</f>
        <v>2</v>
      </c>
      <c r="T5" s="31" t="n">
        <f aca="false">INT((T4-1)/12)+1</f>
        <v>2</v>
      </c>
      <c r="U5" s="31" t="n">
        <f aca="false">INT((U4-1)/12)+1</f>
        <v>2</v>
      </c>
      <c r="V5" s="31" t="n">
        <f aca="false">INT((V4-1)/12)+1</f>
        <v>2</v>
      </c>
      <c r="W5" s="31" t="n">
        <f aca="false">INT((W4-1)/12)+1</f>
        <v>2</v>
      </c>
      <c r="X5" s="31" t="n">
        <f aca="false">INT((X4-1)/12)+1</f>
        <v>2</v>
      </c>
      <c r="Y5" s="31" t="n">
        <f aca="false">INT((Y4-1)/12)+1</f>
        <v>2</v>
      </c>
      <c r="Z5" s="31" t="n">
        <f aca="false">INT((Z4-1)/12)+1</f>
        <v>2</v>
      </c>
      <c r="AA5" s="31" t="n">
        <f aca="false">INT((AA4-1)/12)+1</f>
        <v>3</v>
      </c>
      <c r="AB5" s="31" t="n">
        <f aca="false">INT((AB4-1)/12)+1</f>
        <v>3</v>
      </c>
      <c r="AC5" s="31" t="n">
        <f aca="false">INT((AC4-1)/12)+1</f>
        <v>3</v>
      </c>
      <c r="AD5" s="31" t="n">
        <f aca="false">INT((AD4-1)/12)+1</f>
        <v>3</v>
      </c>
      <c r="AE5" s="31" t="n">
        <f aca="false">INT((AE4-1)/12)+1</f>
        <v>3</v>
      </c>
      <c r="AF5" s="31" t="n">
        <f aca="false">INT((AF4-1)/12)+1</f>
        <v>3</v>
      </c>
      <c r="AG5" s="31" t="n">
        <f aca="false">INT((AG4-1)/12)+1</f>
        <v>3</v>
      </c>
      <c r="AH5" s="31" t="n">
        <f aca="false">INT((AH4-1)/12)+1</f>
        <v>3</v>
      </c>
      <c r="AI5" s="31" t="n">
        <f aca="false">INT((AI4-1)/12)+1</f>
        <v>3</v>
      </c>
      <c r="AJ5" s="31" t="n">
        <f aca="false">INT((AJ4-1)/12)+1</f>
        <v>3</v>
      </c>
      <c r="AK5" s="31" t="n">
        <f aca="false">INT((AK4-1)/12)+1</f>
        <v>3</v>
      </c>
      <c r="AL5" s="31" t="n">
        <f aca="false">INT((AL4-1)/12)+1</f>
        <v>3</v>
      </c>
      <c r="AM5" s="29" t="n">
        <v>1</v>
      </c>
      <c r="AN5" s="29" t="n">
        <v>2</v>
      </c>
      <c r="AO5" s="29" t="n">
        <v>3</v>
      </c>
    </row>
    <row r="6" customFormat="false" ht="15" hidden="false" customHeight="false" outlineLevel="0" collapsed="false">
      <c r="A6" s="5" t="s">
        <v>205</v>
      </c>
      <c r="B6" s="5" t="s">
        <v>63</v>
      </c>
      <c r="C6" s="32" t="n">
        <f aca="false">EDATE(Assumptions!$C$7,C4-1)</f>
        <v>46388</v>
      </c>
      <c r="D6" s="32" t="n">
        <f aca="false">EDATE(Assumptions!$C$7,D4-1)</f>
        <v>46419</v>
      </c>
      <c r="E6" s="32" t="n">
        <f aca="false">EDATE(Assumptions!$C$7,E4-1)</f>
        <v>46447</v>
      </c>
      <c r="F6" s="32" t="n">
        <f aca="false">EDATE(Assumptions!$C$7,F4-1)</f>
        <v>46478</v>
      </c>
      <c r="G6" s="32" t="n">
        <f aca="false">EDATE(Assumptions!$C$7,G4-1)</f>
        <v>46508</v>
      </c>
      <c r="H6" s="32" t="n">
        <f aca="false">EDATE(Assumptions!$C$7,H4-1)</f>
        <v>46539</v>
      </c>
      <c r="I6" s="32" t="n">
        <f aca="false">EDATE(Assumptions!$C$7,I4-1)</f>
        <v>46569</v>
      </c>
      <c r="J6" s="32" t="n">
        <f aca="false">EDATE(Assumptions!$C$7,J4-1)</f>
        <v>46600</v>
      </c>
      <c r="K6" s="32" t="n">
        <f aca="false">EDATE(Assumptions!$C$7,K4-1)</f>
        <v>46631</v>
      </c>
      <c r="L6" s="32" t="n">
        <f aca="false">EDATE(Assumptions!$C$7,L4-1)</f>
        <v>46661</v>
      </c>
      <c r="M6" s="32" t="n">
        <f aca="false">EDATE(Assumptions!$C$7,M4-1)</f>
        <v>46692</v>
      </c>
      <c r="N6" s="32" t="n">
        <f aca="false">EDATE(Assumptions!$C$7,N4-1)</f>
        <v>46722</v>
      </c>
      <c r="O6" s="32" t="n">
        <f aca="false">EDATE(Assumptions!$C$7,O4-1)</f>
        <v>46753</v>
      </c>
      <c r="P6" s="32" t="n">
        <f aca="false">EDATE(Assumptions!$C$7,P4-1)</f>
        <v>46784</v>
      </c>
      <c r="Q6" s="32" t="n">
        <f aca="false">EDATE(Assumptions!$C$7,Q4-1)</f>
        <v>46813</v>
      </c>
      <c r="R6" s="32" t="n">
        <f aca="false">EDATE(Assumptions!$C$7,R4-1)</f>
        <v>46844</v>
      </c>
      <c r="S6" s="32" t="n">
        <f aca="false">EDATE(Assumptions!$C$7,S4-1)</f>
        <v>46874</v>
      </c>
      <c r="T6" s="32" t="n">
        <f aca="false">EDATE(Assumptions!$C$7,T4-1)</f>
        <v>46905</v>
      </c>
      <c r="U6" s="32" t="n">
        <f aca="false">EDATE(Assumptions!$C$7,U4-1)</f>
        <v>46935</v>
      </c>
      <c r="V6" s="32" t="n">
        <f aca="false">EDATE(Assumptions!$C$7,V4-1)</f>
        <v>46966</v>
      </c>
      <c r="W6" s="32" t="n">
        <f aca="false">EDATE(Assumptions!$C$7,W4-1)</f>
        <v>46997</v>
      </c>
      <c r="X6" s="32" t="n">
        <f aca="false">EDATE(Assumptions!$C$7,X4-1)</f>
        <v>47027</v>
      </c>
      <c r="Y6" s="32" t="n">
        <f aca="false">EDATE(Assumptions!$C$7,Y4-1)</f>
        <v>47058</v>
      </c>
      <c r="Z6" s="32" t="n">
        <f aca="false">EDATE(Assumptions!$C$7,Z4-1)</f>
        <v>47088</v>
      </c>
      <c r="AA6" s="32" t="n">
        <f aca="false">EDATE(Assumptions!$C$7,AA4-1)</f>
        <v>47119</v>
      </c>
      <c r="AB6" s="32" t="n">
        <f aca="false">EDATE(Assumptions!$C$7,AB4-1)</f>
        <v>47150</v>
      </c>
      <c r="AC6" s="32" t="n">
        <f aca="false">EDATE(Assumptions!$C$7,AC4-1)</f>
        <v>47178</v>
      </c>
      <c r="AD6" s="32" t="n">
        <f aca="false">EDATE(Assumptions!$C$7,AD4-1)</f>
        <v>47209</v>
      </c>
      <c r="AE6" s="32" t="n">
        <f aca="false">EDATE(Assumptions!$C$7,AE4-1)</f>
        <v>47239</v>
      </c>
      <c r="AF6" s="32" t="n">
        <f aca="false">EDATE(Assumptions!$C$7,AF4-1)</f>
        <v>47270</v>
      </c>
      <c r="AG6" s="32" t="n">
        <f aca="false">EDATE(Assumptions!$C$7,AG4-1)</f>
        <v>47300</v>
      </c>
      <c r="AH6" s="32" t="n">
        <f aca="false">EDATE(Assumptions!$C$7,AH4-1)</f>
        <v>47331</v>
      </c>
      <c r="AI6" s="32" t="n">
        <f aca="false">EDATE(Assumptions!$C$7,AI4-1)</f>
        <v>47362</v>
      </c>
      <c r="AJ6" s="32" t="n">
        <f aca="false">EDATE(Assumptions!$C$7,AJ4-1)</f>
        <v>47392</v>
      </c>
      <c r="AK6" s="32" t="n">
        <f aca="false">EDATE(Assumptions!$C$7,AK4-1)</f>
        <v>47423</v>
      </c>
      <c r="AL6" s="32" t="n">
        <f aca="false">EDATE(Assumptions!$C$7,AL4-1)</f>
        <v>47453</v>
      </c>
      <c r="AM6" s="33" t="s">
        <v>206</v>
      </c>
      <c r="AN6" s="33" t="s">
        <v>207</v>
      </c>
      <c r="AO6" s="33" t="s">
        <v>208</v>
      </c>
    </row>
    <row r="7" customFormat="false" ht="15" hidden="false" customHeight="false" outlineLevel="0" collapsed="false">
      <c r="A7" s="7" t="s">
        <v>229</v>
      </c>
      <c r="B7" s="2"/>
      <c r="C7" s="48" t="n">
        <f aca="false">Revenue!C29</f>
        <v>54761.8968</v>
      </c>
      <c r="D7" s="48" t="n">
        <f aca="false">Revenue!D29</f>
        <v>58340.2176</v>
      </c>
      <c r="E7" s="48" t="n">
        <f aca="false">Revenue!E29</f>
        <v>79568.568</v>
      </c>
      <c r="F7" s="48" t="n">
        <f aca="false">Revenue!F29</f>
        <v>81531.36</v>
      </c>
      <c r="G7" s="48" t="n">
        <f aca="false">Revenue!G29</f>
        <v>93376.0548</v>
      </c>
      <c r="H7" s="48" t="n">
        <f aca="false">Revenue!H29</f>
        <v>95119.92</v>
      </c>
      <c r="I7" s="48" t="n">
        <f aca="false">Revenue!I29</f>
        <v>98290.584</v>
      </c>
      <c r="J7" s="48" t="n">
        <f aca="false">Revenue!J29</f>
        <v>96418.3824</v>
      </c>
      <c r="K7" s="48" t="n">
        <f aca="false">Revenue!K29</f>
        <v>90590.4</v>
      </c>
      <c r="L7" s="48" t="n">
        <f aca="false">Revenue!L29</f>
        <v>93610.08</v>
      </c>
      <c r="M7" s="48" t="n">
        <f aca="false">Revenue!M29</f>
        <v>88778.592</v>
      </c>
      <c r="N7" s="48" t="n">
        <f aca="false">Revenue!N29</f>
        <v>95482.2816</v>
      </c>
      <c r="O7" s="48" t="n">
        <f aca="false">Revenue!O29</f>
        <v>89379.8404848</v>
      </c>
      <c r="P7" s="48" t="n">
        <f aca="false">Revenue!P29</f>
        <v>85471.47470016</v>
      </c>
      <c r="Q7" s="48" t="n">
        <f aca="false">Revenue!Q29</f>
        <v>99310.933872</v>
      </c>
      <c r="R7" s="48" t="n">
        <f aca="false">Revenue!R29</f>
        <v>96107.35536</v>
      </c>
      <c r="S7" s="48" t="n">
        <f aca="false">Revenue!S29</f>
        <v>104276.4805656</v>
      </c>
      <c r="T7" s="48" t="n">
        <f aca="false">Revenue!T29</f>
        <v>100912.723128</v>
      </c>
      <c r="U7" s="48" t="n">
        <f aca="false">Revenue!U29</f>
        <v>104276.4805656</v>
      </c>
      <c r="V7" s="48" t="n">
        <f aca="false">Revenue!V29</f>
        <v>102290.26188816</v>
      </c>
      <c r="W7" s="48" t="n">
        <f aca="false">Revenue!W29</f>
        <v>96107.35536</v>
      </c>
      <c r="X7" s="48" t="n">
        <f aca="false">Revenue!X29</f>
        <v>99310.933872</v>
      </c>
      <c r="Y7" s="48" t="n">
        <f aca="false">Revenue!Y29</f>
        <v>94185.2082528</v>
      </c>
      <c r="Z7" s="48" t="n">
        <f aca="false">Revenue!Z29</f>
        <v>101297.15254944</v>
      </c>
      <c r="AA7" s="48" t="n">
        <f aca="false">Revenue!AA29</f>
        <v>93902.4604133309</v>
      </c>
      <c r="AB7" s="48" t="n">
        <f aca="false">Revenue!AB29</f>
        <v>86699.9061020575</v>
      </c>
      <c r="AC7" s="48" t="n">
        <f aca="false">Revenue!AC29</f>
        <v>104336.067125923</v>
      </c>
      <c r="AD7" s="48" t="n">
        <f aca="false">Revenue!AD29</f>
        <v>100970.387541216</v>
      </c>
      <c r="AE7" s="48" t="n">
        <f aca="false">Revenue!AE29</f>
        <v>109552.870482219</v>
      </c>
      <c r="AF7" s="48" t="n">
        <f aca="false">Revenue!AF29</f>
        <v>106018.906918277</v>
      </c>
      <c r="AG7" s="48" t="n">
        <f aca="false">Revenue!AG29</f>
        <v>109552.870482219</v>
      </c>
      <c r="AH7" s="48" t="n">
        <f aca="false">Revenue!AH29</f>
        <v>107466.149139701</v>
      </c>
      <c r="AI7" s="48" t="n">
        <f aca="false">Revenue!AI29</f>
        <v>100970.387541216</v>
      </c>
      <c r="AJ7" s="48" t="n">
        <f aca="false">Revenue!AJ29</f>
        <v>104336.067125923</v>
      </c>
      <c r="AK7" s="48" t="n">
        <f aca="false">Revenue!AK29</f>
        <v>98950.9797903917</v>
      </c>
      <c r="AL7" s="48" t="n">
        <f aca="false">Revenue!AL29</f>
        <v>106422.788468442</v>
      </c>
      <c r="AM7" s="44" t="n">
        <f aca="false">SUMIF($C$5:$AL$5,AM$5,$C7:$AL7)</f>
        <v>1025868.3372</v>
      </c>
      <c r="AN7" s="44" t="n">
        <f aca="false">SUMIF($C$5:$AL$5,AN$5,$C7:$AL7)</f>
        <v>1172926.20059856</v>
      </c>
      <c r="AO7" s="44" t="n">
        <f aca="false">SUMIF($C$5:$AL$5,AO$5,$C7:$AL7)</f>
        <v>1229179.84113092</v>
      </c>
    </row>
    <row r="8" customFormat="false" ht="15" hidden="false" customHeight="false" outlineLevel="0" collapsed="false">
      <c r="A8" s="7" t="s">
        <v>230</v>
      </c>
      <c r="B8" s="2"/>
      <c r="C8" s="48" t="n">
        <f aca="false">Revenue!C30</f>
        <v>18253.9656</v>
      </c>
      <c r="D8" s="48" t="n">
        <f aca="false">Revenue!D30</f>
        <v>19446.7392</v>
      </c>
      <c r="E8" s="48" t="n">
        <f aca="false">Revenue!E30</f>
        <v>26522.856</v>
      </c>
      <c r="F8" s="48" t="n">
        <f aca="false">Revenue!F30</f>
        <v>27177.12</v>
      </c>
      <c r="G8" s="48" t="n">
        <f aca="false">Revenue!G30</f>
        <v>31125.3516</v>
      </c>
      <c r="H8" s="48" t="n">
        <f aca="false">Revenue!H30</f>
        <v>31706.64</v>
      </c>
      <c r="I8" s="48" t="n">
        <f aca="false">Revenue!I30</f>
        <v>32763.528</v>
      </c>
      <c r="J8" s="48" t="n">
        <f aca="false">Revenue!J30</f>
        <v>32139.4608</v>
      </c>
      <c r="K8" s="48" t="n">
        <f aca="false">Revenue!K30</f>
        <v>30196.8</v>
      </c>
      <c r="L8" s="48" t="n">
        <f aca="false">Revenue!L30</f>
        <v>31203.36</v>
      </c>
      <c r="M8" s="48" t="n">
        <f aca="false">Revenue!M30</f>
        <v>29592.864</v>
      </c>
      <c r="N8" s="48" t="n">
        <f aca="false">Revenue!N30</f>
        <v>31827.4272</v>
      </c>
      <c r="O8" s="48" t="n">
        <f aca="false">Revenue!O30</f>
        <v>29793.2801616</v>
      </c>
      <c r="P8" s="48" t="n">
        <f aca="false">Revenue!P30</f>
        <v>28490.49156672</v>
      </c>
      <c r="Q8" s="48" t="n">
        <f aca="false">Revenue!Q30</f>
        <v>33103.644624</v>
      </c>
      <c r="R8" s="48" t="n">
        <f aca="false">Revenue!R30</f>
        <v>32035.78512</v>
      </c>
      <c r="S8" s="48" t="n">
        <f aca="false">Revenue!S30</f>
        <v>34758.8268552</v>
      </c>
      <c r="T8" s="48" t="n">
        <f aca="false">Revenue!T30</f>
        <v>33637.574376</v>
      </c>
      <c r="U8" s="48" t="n">
        <f aca="false">Revenue!U30</f>
        <v>34758.8268552</v>
      </c>
      <c r="V8" s="48" t="n">
        <f aca="false">Revenue!V30</f>
        <v>34096.75396272</v>
      </c>
      <c r="W8" s="48" t="n">
        <f aca="false">Revenue!W30</f>
        <v>32035.78512</v>
      </c>
      <c r="X8" s="48" t="n">
        <f aca="false">Revenue!X30</f>
        <v>33103.644624</v>
      </c>
      <c r="Y8" s="48" t="n">
        <f aca="false">Revenue!Y30</f>
        <v>31395.0694176</v>
      </c>
      <c r="Z8" s="48" t="n">
        <f aca="false">Revenue!Z30</f>
        <v>33765.71751648</v>
      </c>
      <c r="AA8" s="48" t="n">
        <f aca="false">Revenue!AA30</f>
        <v>31300.820137777</v>
      </c>
      <c r="AB8" s="48" t="n">
        <f aca="false">Revenue!AB30</f>
        <v>28899.9687006858</v>
      </c>
      <c r="AC8" s="48" t="n">
        <f aca="false">Revenue!AC30</f>
        <v>34778.6890419744</v>
      </c>
      <c r="AD8" s="48" t="n">
        <f aca="false">Revenue!AD30</f>
        <v>33656.795847072</v>
      </c>
      <c r="AE8" s="48" t="n">
        <f aca="false">Revenue!AE30</f>
        <v>36517.6234940731</v>
      </c>
      <c r="AF8" s="48" t="n">
        <f aca="false">Revenue!AF30</f>
        <v>35339.6356394256</v>
      </c>
      <c r="AG8" s="48" t="n">
        <f aca="false">Revenue!AG30</f>
        <v>36517.6234940731</v>
      </c>
      <c r="AH8" s="48" t="n">
        <f aca="false">Revenue!AH30</f>
        <v>35822.0497132336</v>
      </c>
      <c r="AI8" s="48" t="n">
        <f aca="false">Revenue!AI30</f>
        <v>33656.795847072</v>
      </c>
      <c r="AJ8" s="48" t="n">
        <f aca="false">Revenue!AJ30</f>
        <v>34778.6890419744</v>
      </c>
      <c r="AK8" s="48" t="n">
        <f aca="false">Revenue!AK30</f>
        <v>32983.6599301306</v>
      </c>
      <c r="AL8" s="48" t="n">
        <f aca="false">Revenue!AL30</f>
        <v>35474.2628228139</v>
      </c>
      <c r="AM8" s="44" t="n">
        <f aca="false">SUMIF($C$5:$AL$5,AM$5,$C8:$AL8)</f>
        <v>341956.1124</v>
      </c>
      <c r="AN8" s="44" t="n">
        <f aca="false">SUMIF($C$5:$AL$5,AN$5,$C8:$AL8)</f>
        <v>390975.40019952</v>
      </c>
      <c r="AO8" s="44" t="n">
        <f aca="false">SUMIF($C$5:$AL$5,AO$5,$C8:$AL8)</f>
        <v>409726.613710306</v>
      </c>
    </row>
    <row r="10" customFormat="false" ht="15" hidden="false" customHeight="false" outlineLevel="0" collapsed="false">
      <c r="A10" s="7" t="s">
        <v>234</v>
      </c>
      <c r="B10" s="2"/>
      <c r="C10" s="28" t="n">
        <f aca="false">C7*Assumptions!$C$50</f>
        <v>16428.56904</v>
      </c>
      <c r="D10" s="28" t="n">
        <f aca="false">D7*Assumptions!$C$50</f>
        <v>17502.06528</v>
      </c>
      <c r="E10" s="28" t="n">
        <f aca="false">E7*Assumptions!$C$50</f>
        <v>23870.5704</v>
      </c>
      <c r="F10" s="28" t="n">
        <f aca="false">F7*Assumptions!$C$50</f>
        <v>24459.408</v>
      </c>
      <c r="G10" s="28" t="n">
        <f aca="false">G7*Assumptions!$C$50</f>
        <v>28012.81644</v>
      </c>
      <c r="H10" s="28" t="n">
        <f aca="false">H7*Assumptions!$C$50</f>
        <v>28535.976</v>
      </c>
      <c r="I10" s="28" t="n">
        <f aca="false">I7*Assumptions!$C$50</f>
        <v>29487.1752</v>
      </c>
      <c r="J10" s="28" t="n">
        <f aca="false">J7*Assumptions!$C$50</f>
        <v>28925.51472</v>
      </c>
      <c r="K10" s="28" t="n">
        <f aca="false">K7*Assumptions!$C$50</f>
        <v>27177.12</v>
      </c>
      <c r="L10" s="28" t="n">
        <f aca="false">L7*Assumptions!$C$50</f>
        <v>28083.024</v>
      </c>
      <c r="M10" s="28" t="n">
        <f aca="false">M7*Assumptions!$C$50</f>
        <v>26633.5776</v>
      </c>
      <c r="N10" s="28" t="n">
        <f aca="false">N7*Assumptions!$C$50</f>
        <v>28644.68448</v>
      </c>
      <c r="O10" s="28" t="n">
        <f aca="false">O7*Assumptions!$C$50</f>
        <v>26813.95214544</v>
      </c>
      <c r="P10" s="28" t="n">
        <f aca="false">P7*Assumptions!$C$50</f>
        <v>25641.442410048</v>
      </c>
      <c r="Q10" s="28" t="n">
        <f aca="false">Q7*Assumptions!$C$50</f>
        <v>29793.2801616</v>
      </c>
      <c r="R10" s="28" t="n">
        <f aca="false">R7*Assumptions!$C$50</f>
        <v>28832.206608</v>
      </c>
      <c r="S10" s="28" t="n">
        <f aca="false">S7*Assumptions!$C$50</f>
        <v>31282.94416968</v>
      </c>
      <c r="T10" s="28" t="n">
        <f aca="false">T7*Assumptions!$C$50</f>
        <v>30273.8169384</v>
      </c>
      <c r="U10" s="28" t="n">
        <f aca="false">U7*Assumptions!$C$50</f>
        <v>31282.94416968</v>
      </c>
      <c r="V10" s="28" t="n">
        <f aca="false">V7*Assumptions!$C$50</f>
        <v>30687.078566448</v>
      </c>
      <c r="W10" s="28" t="n">
        <f aca="false">W7*Assumptions!$C$50</f>
        <v>28832.206608</v>
      </c>
      <c r="X10" s="28" t="n">
        <f aca="false">X7*Assumptions!$C$50</f>
        <v>29793.2801616</v>
      </c>
      <c r="Y10" s="28" t="n">
        <f aca="false">Y7*Assumptions!$C$50</f>
        <v>28255.56247584</v>
      </c>
      <c r="Z10" s="28" t="n">
        <f aca="false">Z7*Assumptions!$C$50</f>
        <v>30389.145764832</v>
      </c>
      <c r="AA10" s="28" t="n">
        <f aca="false">AA7*Assumptions!$C$50</f>
        <v>28170.7381239993</v>
      </c>
      <c r="AB10" s="28" t="n">
        <f aca="false">AB7*Assumptions!$C$50</f>
        <v>26009.9718306172</v>
      </c>
      <c r="AC10" s="28" t="n">
        <f aca="false">AC7*Assumptions!$C$50</f>
        <v>31300.820137777</v>
      </c>
      <c r="AD10" s="28" t="n">
        <f aca="false">AD7*Assumptions!$C$50</f>
        <v>30291.1162623648</v>
      </c>
      <c r="AE10" s="28" t="n">
        <f aca="false">AE7*Assumptions!$C$50</f>
        <v>32865.8611446658</v>
      </c>
      <c r="AF10" s="28" t="n">
        <f aca="false">AF7*Assumptions!$C$50</f>
        <v>31805.672075483</v>
      </c>
      <c r="AG10" s="28" t="n">
        <f aca="false">AG7*Assumptions!$C$50</f>
        <v>32865.8611446658</v>
      </c>
      <c r="AH10" s="28" t="n">
        <f aca="false">AH7*Assumptions!$C$50</f>
        <v>32239.8447419103</v>
      </c>
      <c r="AI10" s="28" t="n">
        <f aca="false">AI7*Assumptions!$C$50</f>
        <v>30291.1162623648</v>
      </c>
      <c r="AJ10" s="28" t="n">
        <f aca="false">AJ7*Assumptions!$C$50</f>
        <v>31300.820137777</v>
      </c>
      <c r="AK10" s="28" t="n">
        <f aca="false">AK7*Assumptions!$C$50</f>
        <v>29685.2939371175</v>
      </c>
      <c r="AL10" s="28" t="n">
        <f aca="false">AL7*Assumptions!$C$50</f>
        <v>31926.8365405325</v>
      </c>
      <c r="AM10" s="44" t="n">
        <f aca="false">SUMIF($C$5:$AL$5,AM$5,$C10:$AL10)</f>
        <v>307760.50116</v>
      </c>
      <c r="AN10" s="44" t="n">
        <f aca="false">SUMIF($C$5:$AL$5,AN$5,$C10:$AL10)</f>
        <v>351877.860179568</v>
      </c>
      <c r="AO10" s="44" t="n">
        <f aca="false">SUMIF($C$5:$AL$5,AO$5,$C10:$AL10)</f>
        <v>368753.952339275</v>
      </c>
    </row>
    <row r="11" customFormat="false" ht="15" hidden="false" customHeight="false" outlineLevel="0" collapsed="false">
      <c r="A11" s="7" t="s">
        <v>235</v>
      </c>
      <c r="B11" s="2"/>
      <c r="C11" s="28" t="n">
        <f aca="false">C8*Assumptions!$C$51</f>
        <v>4380.951744</v>
      </c>
      <c r="D11" s="28" t="n">
        <f aca="false">D8*Assumptions!$C$51</f>
        <v>4667.217408</v>
      </c>
      <c r="E11" s="28" t="n">
        <f aca="false">E8*Assumptions!$C$51</f>
        <v>6365.48544</v>
      </c>
      <c r="F11" s="28" t="n">
        <f aca="false">F8*Assumptions!$C$51</f>
        <v>6522.5088</v>
      </c>
      <c r="G11" s="28" t="n">
        <f aca="false">G8*Assumptions!$C$51</f>
        <v>7470.084384</v>
      </c>
      <c r="H11" s="28" t="n">
        <f aca="false">H8*Assumptions!$C$51</f>
        <v>7609.5936</v>
      </c>
      <c r="I11" s="28" t="n">
        <f aca="false">I8*Assumptions!$C$51</f>
        <v>7863.24672</v>
      </c>
      <c r="J11" s="28" t="n">
        <f aca="false">J8*Assumptions!$C$51</f>
        <v>7713.470592</v>
      </c>
      <c r="K11" s="28" t="n">
        <f aca="false">K8*Assumptions!$C$51</f>
        <v>7247.232</v>
      </c>
      <c r="L11" s="28" t="n">
        <f aca="false">L8*Assumptions!$C$51</f>
        <v>7488.8064</v>
      </c>
      <c r="M11" s="28" t="n">
        <f aca="false">M8*Assumptions!$C$51</f>
        <v>7102.28736</v>
      </c>
      <c r="N11" s="28" t="n">
        <f aca="false">N8*Assumptions!$C$51</f>
        <v>7638.582528</v>
      </c>
      <c r="O11" s="28" t="n">
        <f aca="false">O8*Assumptions!$C$51</f>
        <v>7150.387238784</v>
      </c>
      <c r="P11" s="28" t="n">
        <f aca="false">P8*Assumptions!$C$51</f>
        <v>6837.7179760128</v>
      </c>
      <c r="Q11" s="28" t="n">
        <f aca="false">Q8*Assumptions!$C$51</f>
        <v>7944.87470976</v>
      </c>
      <c r="R11" s="28" t="n">
        <f aca="false">R8*Assumptions!$C$51</f>
        <v>7688.5884288</v>
      </c>
      <c r="S11" s="28" t="n">
        <f aca="false">S8*Assumptions!$C$51</f>
        <v>8342.118445248</v>
      </c>
      <c r="T11" s="28" t="n">
        <f aca="false">T8*Assumptions!$C$51</f>
        <v>8073.01785024</v>
      </c>
      <c r="U11" s="28" t="n">
        <f aca="false">U8*Assumptions!$C$51</f>
        <v>8342.118445248</v>
      </c>
      <c r="V11" s="28" t="n">
        <f aca="false">V8*Assumptions!$C$51</f>
        <v>8183.2209510528</v>
      </c>
      <c r="W11" s="28" t="n">
        <f aca="false">W8*Assumptions!$C$51</f>
        <v>7688.5884288</v>
      </c>
      <c r="X11" s="28" t="n">
        <f aca="false">X8*Assumptions!$C$51</f>
        <v>7944.87470976</v>
      </c>
      <c r="Y11" s="28" t="n">
        <f aca="false">Y8*Assumptions!$C$51</f>
        <v>7534.816660224</v>
      </c>
      <c r="Z11" s="28" t="n">
        <f aca="false">Z8*Assumptions!$C$51</f>
        <v>8103.7722039552</v>
      </c>
      <c r="AA11" s="28" t="n">
        <f aca="false">AA8*Assumptions!$C$51</f>
        <v>7512.19683306647</v>
      </c>
      <c r="AB11" s="28" t="n">
        <f aca="false">AB8*Assumptions!$C$51</f>
        <v>6935.9924881646</v>
      </c>
      <c r="AC11" s="28" t="n">
        <f aca="false">AC8*Assumptions!$C$51</f>
        <v>8346.88537007386</v>
      </c>
      <c r="AD11" s="28" t="n">
        <f aca="false">AD8*Assumptions!$C$51</f>
        <v>8077.63100329728</v>
      </c>
      <c r="AE11" s="28" t="n">
        <f aca="false">AE8*Assumptions!$C$51</f>
        <v>8764.22963857755</v>
      </c>
      <c r="AF11" s="28" t="n">
        <f aca="false">AF8*Assumptions!$C$51</f>
        <v>8481.51255346214</v>
      </c>
      <c r="AG11" s="28" t="n">
        <f aca="false">AG8*Assumptions!$C$51</f>
        <v>8764.22963857755</v>
      </c>
      <c r="AH11" s="28" t="n">
        <f aca="false">AH8*Assumptions!$C$51</f>
        <v>8597.29193117607</v>
      </c>
      <c r="AI11" s="28" t="n">
        <f aca="false">AI8*Assumptions!$C$51</f>
        <v>8077.63100329728</v>
      </c>
      <c r="AJ11" s="28" t="n">
        <f aca="false">AJ8*Assumptions!$C$51</f>
        <v>8346.88537007386</v>
      </c>
      <c r="AK11" s="28" t="n">
        <f aca="false">AK8*Assumptions!$C$51</f>
        <v>7916.07838323134</v>
      </c>
      <c r="AL11" s="28" t="n">
        <f aca="false">AL8*Assumptions!$C$51</f>
        <v>8513.82307747533</v>
      </c>
      <c r="AM11" s="44" t="n">
        <f aca="false">SUMIF($C$5:$AL$5,AM$5,$C11:$AL11)</f>
        <v>82069.466976</v>
      </c>
      <c r="AN11" s="44" t="n">
        <f aca="false">SUMIF($C$5:$AL$5,AN$5,$C11:$AL11)</f>
        <v>93834.0960478848</v>
      </c>
      <c r="AO11" s="44" t="n">
        <f aca="false">SUMIF($C$5:$AL$5,AO$5,$C11:$AL11)</f>
        <v>98334.3872904733</v>
      </c>
    </row>
    <row r="12" customFormat="false" ht="15" hidden="false" customHeight="false" outlineLevel="0" collapsed="false">
      <c r="A12" s="40" t="s">
        <v>236</v>
      </c>
      <c r="B12" s="41"/>
      <c r="C12" s="45" t="n">
        <f aca="false">C10+C11</f>
        <v>20809.520784</v>
      </c>
      <c r="D12" s="45" t="n">
        <f aca="false">D10+D11</f>
        <v>22169.282688</v>
      </c>
      <c r="E12" s="45" t="n">
        <f aca="false">E10+E11</f>
        <v>30236.05584</v>
      </c>
      <c r="F12" s="45" t="n">
        <f aca="false">F10+F11</f>
        <v>30981.9168</v>
      </c>
      <c r="G12" s="45" t="n">
        <f aca="false">G10+G11</f>
        <v>35482.900824</v>
      </c>
      <c r="H12" s="45" t="n">
        <f aca="false">H10+H11</f>
        <v>36145.5696</v>
      </c>
      <c r="I12" s="45" t="n">
        <f aca="false">I10+I11</f>
        <v>37350.42192</v>
      </c>
      <c r="J12" s="45" t="n">
        <f aca="false">J10+J11</f>
        <v>36638.985312</v>
      </c>
      <c r="K12" s="45" t="n">
        <f aca="false">K10+K11</f>
        <v>34424.352</v>
      </c>
      <c r="L12" s="45" t="n">
        <f aca="false">L10+L11</f>
        <v>35571.8304</v>
      </c>
      <c r="M12" s="45" t="n">
        <f aca="false">M10+M11</f>
        <v>33735.86496</v>
      </c>
      <c r="N12" s="45" t="n">
        <f aca="false">N10+N11</f>
        <v>36283.267008</v>
      </c>
      <c r="O12" s="45" t="n">
        <f aca="false">O10+O11</f>
        <v>33964.339384224</v>
      </c>
      <c r="P12" s="45" t="n">
        <f aca="false">P10+P11</f>
        <v>32479.1603860608</v>
      </c>
      <c r="Q12" s="45" t="n">
        <f aca="false">Q10+Q11</f>
        <v>37738.15487136</v>
      </c>
      <c r="R12" s="45" t="n">
        <f aca="false">R10+R11</f>
        <v>36520.7950368</v>
      </c>
      <c r="S12" s="45" t="n">
        <f aca="false">S10+S11</f>
        <v>39625.062614928</v>
      </c>
      <c r="T12" s="45" t="n">
        <f aca="false">T10+T11</f>
        <v>38346.83478864</v>
      </c>
      <c r="U12" s="45" t="n">
        <f aca="false">U10+U11</f>
        <v>39625.062614928</v>
      </c>
      <c r="V12" s="45" t="n">
        <f aca="false">V10+V11</f>
        <v>38870.2995175008</v>
      </c>
      <c r="W12" s="45" t="n">
        <f aca="false">W10+W11</f>
        <v>36520.7950368</v>
      </c>
      <c r="X12" s="45" t="n">
        <f aca="false">X10+X11</f>
        <v>37738.15487136</v>
      </c>
      <c r="Y12" s="45" t="n">
        <f aca="false">Y10+Y11</f>
        <v>35790.379136064</v>
      </c>
      <c r="Z12" s="45" t="n">
        <f aca="false">Z10+Z11</f>
        <v>38492.9179687872</v>
      </c>
      <c r="AA12" s="45" t="n">
        <f aca="false">AA10+AA11</f>
        <v>35682.9349570657</v>
      </c>
      <c r="AB12" s="45" t="n">
        <f aca="false">AB10+AB11</f>
        <v>32945.9643187818</v>
      </c>
      <c r="AC12" s="45" t="n">
        <f aca="false">AC10+AC11</f>
        <v>39647.7055078508</v>
      </c>
      <c r="AD12" s="45" t="n">
        <f aca="false">AD10+AD11</f>
        <v>38368.7472656621</v>
      </c>
      <c r="AE12" s="45" t="n">
        <f aca="false">AE10+AE11</f>
        <v>41630.0907832434</v>
      </c>
      <c r="AF12" s="45" t="n">
        <f aca="false">AF10+AF11</f>
        <v>40287.1846289452</v>
      </c>
      <c r="AG12" s="45" t="n">
        <f aca="false">AG10+AG11</f>
        <v>41630.0907832434</v>
      </c>
      <c r="AH12" s="45" t="n">
        <f aca="false">AH10+AH11</f>
        <v>40837.1366730863</v>
      </c>
      <c r="AI12" s="45" t="n">
        <f aca="false">AI10+AI11</f>
        <v>38368.7472656621</v>
      </c>
      <c r="AJ12" s="45" t="n">
        <f aca="false">AJ10+AJ11</f>
        <v>39647.7055078508</v>
      </c>
      <c r="AK12" s="45" t="n">
        <f aca="false">AK10+AK11</f>
        <v>37601.3723203488</v>
      </c>
      <c r="AL12" s="45" t="n">
        <f aca="false">AL10+AL11</f>
        <v>40440.6596180078</v>
      </c>
      <c r="AM12" s="46" t="n">
        <f aca="false">SUMIF($C$5:$AL$5,AM$5,$C12:$AL12)</f>
        <v>389829.968136</v>
      </c>
      <c r="AN12" s="46" t="n">
        <f aca="false">SUMIF($C$5:$AL$5,AN$5,$C12:$AL12)</f>
        <v>445711.956227453</v>
      </c>
      <c r="AO12" s="46" t="n">
        <f aca="false">SUMIF($C$5:$AL$5,AO$5,$C12:$AL12)</f>
        <v>467088.339629748</v>
      </c>
    </row>
    <row r="13" customFormat="false" ht="15" hidden="false" customHeight="false" outlineLevel="0" collapsed="false">
      <c r="A13" s="7" t="s">
        <v>237</v>
      </c>
      <c r="B13" s="2"/>
      <c r="C13" s="22" t="n">
        <f aca="false">IF((C7+C8)=0,0,C12/(C7+C8))</f>
        <v>0.285</v>
      </c>
      <c r="D13" s="22" t="n">
        <f aca="false">IF((D7+D8)=0,0,D12/(D7+D8))</f>
        <v>0.285</v>
      </c>
      <c r="E13" s="22" t="n">
        <f aca="false">IF((E7+E8)=0,0,E12/(E7+E8))</f>
        <v>0.285</v>
      </c>
      <c r="F13" s="22" t="n">
        <f aca="false">IF((F7+F8)=0,0,F12/(F7+F8))</f>
        <v>0.285</v>
      </c>
      <c r="G13" s="22" t="n">
        <f aca="false">IF((G7+G8)=0,0,G12/(G7+G8))</f>
        <v>0.285</v>
      </c>
      <c r="H13" s="22" t="n">
        <f aca="false">IF((H7+H8)=0,0,H12/(H7+H8))</f>
        <v>0.285</v>
      </c>
      <c r="I13" s="22" t="n">
        <f aca="false">IF((I7+I8)=0,0,I12/(I7+I8))</f>
        <v>0.285</v>
      </c>
      <c r="J13" s="22" t="n">
        <f aca="false">IF((J7+J8)=0,0,J12/(J7+J8))</f>
        <v>0.285</v>
      </c>
      <c r="K13" s="22" t="n">
        <f aca="false">IF((K7+K8)=0,0,K12/(K7+K8))</f>
        <v>0.285</v>
      </c>
      <c r="L13" s="22" t="n">
        <f aca="false">IF((L7+L8)=0,0,L12/(L7+L8))</f>
        <v>0.285</v>
      </c>
      <c r="M13" s="22" t="n">
        <f aca="false">IF((M7+M8)=0,0,M12/(M7+M8))</f>
        <v>0.285</v>
      </c>
      <c r="N13" s="22" t="n">
        <f aca="false">IF((N7+N8)=0,0,N12/(N7+N8))</f>
        <v>0.285</v>
      </c>
      <c r="O13" s="22" t="n">
        <f aca="false">IF((O7+O8)=0,0,O12/(O7+O8))</f>
        <v>0.285</v>
      </c>
      <c r="P13" s="22" t="n">
        <f aca="false">IF((P7+P8)=0,0,P12/(P7+P8))</f>
        <v>0.285</v>
      </c>
      <c r="Q13" s="22" t="n">
        <f aca="false">IF((Q7+Q8)=0,0,Q12/(Q7+Q8))</f>
        <v>0.285</v>
      </c>
      <c r="R13" s="22" t="n">
        <f aca="false">IF((R7+R8)=0,0,R12/(R7+R8))</f>
        <v>0.285</v>
      </c>
      <c r="S13" s="22" t="n">
        <f aca="false">IF((S7+S8)=0,0,S12/(S7+S8))</f>
        <v>0.285</v>
      </c>
      <c r="T13" s="22" t="n">
        <f aca="false">IF((T7+T8)=0,0,T12/(T7+T8))</f>
        <v>0.285</v>
      </c>
      <c r="U13" s="22" t="n">
        <f aca="false">IF((U7+U8)=0,0,U12/(U7+U8))</f>
        <v>0.285</v>
      </c>
      <c r="V13" s="22" t="n">
        <f aca="false">IF((V7+V8)=0,0,V12/(V7+V8))</f>
        <v>0.285</v>
      </c>
      <c r="W13" s="22" t="n">
        <f aca="false">IF((W7+W8)=0,0,W12/(W7+W8))</f>
        <v>0.285</v>
      </c>
      <c r="X13" s="22" t="n">
        <f aca="false">IF((X7+X8)=0,0,X12/(X7+X8))</f>
        <v>0.285</v>
      </c>
      <c r="Y13" s="22" t="n">
        <f aca="false">IF((Y7+Y8)=0,0,Y12/(Y7+Y8))</f>
        <v>0.285</v>
      </c>
      <c r="Z13" s="22" t="n">
        <f aca="false">IF((Z7+Z8)=0,0,Z12/(Z7+Z8))</f>
        <v>0.285</v>
      </c>
      <c r="AA13" s="22" t="n">
        <f aca="false">IF((AA7+AA8)=0,0,AA12/(AA7+AA8))</f>
        <v>0.285</v>
      </c>
      <c r="AB13" s="22" t="n">
        <f aca="false">IF((AB7+AB8)=0,0,AB12/(AB7+AB8))</f>
        <v>0.285</v>
      </c>
      <c r="AC13" s="22" t="n">
        <f aca="false">IF((AC7+AC8)=0,0,AC12/(AC7+AC8))</f>
        <v>0.285</v>
      </c>
      <c r="AD13" s="22" t="n">
        <f aca="false">IF((AD7+AD8)=0,0,AD12/(AD7+AD8))</f>
        <v>0.285</v>
      </c>
      <c r="AE13" s="22" t="n">
        <f aca="false">IF((AE7+AE8)=0,0,AE12/(AE7+AE8))</f>
        <v>0.285</v>
      </c>
      <c r="AF13" s="22" t="n">
        <f aca="false">IF((AF7+AF8)=0,0,AF12/(AF7+AF8))</f>
        <v>0.285</v>
      </c>
      <c r="AG13" s="22" t="n">
        <f aca="false">IF((AG7+AG8)=0,0,AG12/(AG7+AG8))</f>
        <v>0.285</v>
      </c>
      <c r="AH13" s="22" t="n">
        <f aca="false">IF((AH7+AH8)=0,0,AH12/(AH7+AH8))</f>
        <v>0.285</v>
      </c>
      <c r="AI13" s="22" t="n">
        <f aca="false">IF((AI7+AI8)=0,0,AI12/(AI7+AI8))</f>
        <v>0.285</v>
      </c>
      <c r="AJ13" s="22" t="n">
        <f aca="false">IF((AJ7+AJ8)=0,0,AJ12/(AJ7+AJ8))</f>
        <v>0.285</v>
      </c>
      <c r="AK13" s="22" t="n">
        <f aca="false">IF((AK7+AK8)=0,0,AK12/(AK7+AK8))</f>
        <v>0.285</v>
      </c>
      <c r="AL13" s="22" t="n">
        <f aca="false">IF((AL7+AL8)=0,0,AL12/(AL7+AL8))</f>
        <v>0.285</v>
      </c>
      <c r="AM13" s="49" t="n">
        <f aca="false">IF((AM7+AM8)=0,0,AM12/(AM7+AM8))</f>
        <v>0.285</v>
      </c>
      <c r="AN13" s="49" t="n">
        <f aca="false">IF((AN7+AN8)=0,0,AN12/(AN7+AN8))</f>
        <v>0.285</v>
      </c>
      <c r="AO13" s="49" t="n">
        <f aca="false">IF((AO7+AO8)=0,0,AO12/(AO7+AO8))</f>
        <v>0.285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4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O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8" min="3" style="0" width="11"/>
    <col collapsed="false" customWidth="true" hidden="false" outlineLevel="0" max="41" min="39" style="0" width="13"/>
  </cols>
  <sheetData>
    <row r="1" customFormat="false" ht="17.35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238</v>
      </c>
    </row>
    <row r="4" customFormat="false" ht="15" hidden="false" customHeight="false" outlineLevel="0" collapsed="false">
      <c r="A4" s="3" t="s">
        <v>202</v>
      </c>
      <c r="C4" s="29" t="n">
        <v>1</v>
      </c>
      <c r="D4" s="29" t="n">
        <v>2</v>
      </c>
      <c r="E4" s="29" t="n">
        <v>3</v>
      </c>
      <c r="F4" s="29" t="n">
        <v>4</v>
      </c>
      <c r="G4" s="29" t="n">
        <v>5</v>
      </c>
      <c r="H4" s="29" t="n">
        <v>6</v>
      </c>
      <c r="I4" s="29" t="n">
        <v>7</v>
      </c>
      <c r="J4" s="29" t="n">
        <v>8</v>
      </c>
      <c r="K4" s="29" t="n">
        <v>9</v>
      </c>
      <c r="L4" s="29" t="n">
        <v>10</v>
      </c>
      <c r="M4" s="29" t="n">
        <v>11</v>
      </c>
      <c r="N4" s="29" t="n">
        <v>12</v>
      </c>
      <c r="O4" s="29" t="n">
        <v>13</v>
      </c>
      <c r="P4" s="29" t="n">
        <v>14</v>
      </c>
      <c r="Q4" s="29" t="n">
        <v>15</v>
      </c>
      <c r="R4" s="29" t="n">
        <v>16</v>
      </c>
      <c r="S4" s="29" t="n">
        <v>17</v>
      </c>
      <c r="T4" s="29" t="n">
        <v>18</v>
      </c>
      <c r="U4" s="29" t="n">
        <v>19</v>
      </c>
      <c r="V4" s="29" t="n">
        <v>20</v>
      </c>
      <c r="W4" s="29" t="n">
        <v>21</v>
      </c>
      <c r="X4" s="29" t="n">
        <v>22</v>
      </c>
      <c r="Y4" s="29" t="n">
        <v>23</v>
      </c>
      <c r="Z4" s="29" t="n">
        <v>24</v>
      </c>
      <c r="AA4" s="29" t="n">
        <v>25</v>
      </c>
      <c r="AB4" s="29" t="n">
        <v>26</v>
      </c>
      <c r="AC4" s="29" t="n">
        <v>27</v>
      </c>
      <c r="AD4" s="29" t="n">
        <v>28</v>
      </c>
      <c r="AE4" s="29" t="n">
        <v>29</v>
      </c>
      <c r="AF4" s="29" t="n">
        <v>30</v>
      </c>
      <c r="AG4" s="29" t="n">
        <v>31</v>
      </c>
      <c r="AH4" s="29" t="n">
        <v>32</v>
      </c>
      <c r="AI4" s="29" t="n">
        <v>33</v>
      </c>
      <c r="AJ4" s="29" t="n">
        <v>34</v>
      </c>
      <c r="AK4" s="29" t="n">
        <v>35</v>
      </c>
      <c r="AL4" s="29" t="n">
        <v>36</v>
      </c>
      <c r="AM4" s="30" t="s">
        <v>203</v>
      </c>
      <c r="AN4" s="30" t="s">
        <v>203</v>
      </c>
      <c r="AO4" s="30" t="s">
        <v>203</v>
      </c>
    </row>
    <row r="5" customFormat="false" ht="15" hidden="false" customHeight="false" outlineLevel="0" collapsed="false">
      <c r="A5" s="3" t="s">
        <v>204</v>
      </c>
      <c r="C5" s="31" t="n">
        <f aca="false">INT((C4-1)/12)+1</f>
        <v>1</v>
      </c>
      <c r="D5" s="31" t="n">
        <f aca="false">INT((D4-1)/12)+1</f>
        <v>1</v>
      </c>
      <c r="E5" s="31" t="n">
        <f aca="false">INT((E4-1)/12)+1</f>
        <v>1</v>
      </c>
      <c r="F5" s="31" t="n">
        <f aca="false">INT((F4-1)/12)+1</f>
        <v>1</v>
      </c>
      <c r="G5" s="31" t="n">
        <f aca="false">INT((G4-1)/12)+1</f>
        <v>1</v>
      </c>
      <c r="H5" s="31" t="n">
        <f aca="false">INT((H4-1)/12)+1</f>
        <v>1</v>
      </c>
      <c r="I5" s="31" t="n">
        <f aca="false">INT((I4-1)/12)+1</f>
        <v>1</v>
      </c>
      <c r="J5" s="31" t="n">
        <f aca="false">INT((J4-1)/12)+1</f>
        <v>1</v>
      </c>
      <c r="K5" s="31" t="n">
        <f aca="false">INT((K4-1)/12)+1</f>
        <v>1</v>
      </c>
      <c r="L5" s="31" t="n">
        <f aca="false">INT((L4-1)/12)+1</f>
        <v>1</v>
      </c>
      <c r="M5" s="31" t="n">
        <f aca="false">INT((M4-1)/12)+1</f>
        <v>1</v>
      </c>
      <c r="N5" s="31" t="n">
        <f aca="false">INT((N4-1)/12)+1</f>
        <v>1</v>
      </c>
      <c r="O5" s="31" t="n">
        <f aca="false">INT((O4-1)/12)+1</f>
        <v>2</v>
      </c>
      <c r="P5" s="31" t="n">
        <f aca="false">INT((P4-1)/12)+1</f>
        <v>2</v>
      </c>
      <c r="Q5" s="31" t="n">
        <f aca="false">INT((Q4-1)/12)+1</f>
        <v>2</v>
      </c>
      <c r="R5" s="31" t="n">
        <f aca="false">INT((R4-1)/12)+1</f>
        <v>2</v>
      </c>
      <c r="S5" s="31" t="n">
        <f aca="false">INT((S4-1)/12)+1</f>
        <v>2</v>
      </c>
      <c r="T5" s="31" t="n">
        <f aca="false">INT((T4-1)/12)+1</f>
        <v>2</v>
      </c>
      <c r="U5" s="31" t="n">
        <f aca="false">INT((U4-1)/12)+1</f>
        <v>2</v>
      </c>
      <c r="V5" s="31" t="n">
        <f aca="false">INT((V4-1)/12)+1</f>
        <v>2</v>
      </c>
      <c r="W5" s="31" t="n">
        <f aca="false">INT((W4-1)/12)+1</f>
        <v>2</v>
      </c>
      <c r="X5" s="31" t="n">
        <f aca="false">INT((X4-1)/12)+1</f>
        <v>2</v>
      </c>
      <c r="Y5" s="31" t="n">
        <f aca="false">INT((Y4-1)/12)+1</f>
        <v>2</v>
      </c>
      <c r="Z5" s="31" t="n">
        <f aca="false">INT((Z4-1)/12)+1</f>
        <v>2</v>
      </c>
      <c r="AA5" s="31" t="n">
        <f aca="false">INT((AA4-1)/12)+1</f>
        <v>3</v>
      </c>
      <c r="AB5" s="31" t="n">
        <f aca="false">INT((AB4-1)/12)+1</f>
        <v>3</v>
      </c>
      <c r="AC5" s="31" t="n">
        <f aca="false">INT((AC4-1)/12)+1</f>
        <v>3</v>
      </c>
      <c r="AD5" s="31" t="n">
        <f aca="false">INT((AD4-1)/12)+1</f>
        <v>3</v>
      </c>
      <c r="AE5" s="31" t="n">
        <f aca="false">INT((AE4-1)/12)+1</f>
        <v>3</v>
      </c>
      <c r="AF5" s="31" t="n">
        <f aca="false">INT((AF4-1)/12)+1</f>
        <v>3</v>
      </c>
      <c r="AG5" s="31" t="n">
        <f aca="false">INT((AG4-1)/12)+1</f>
        <v>3</v>
      </c>
      <c r="AH5" s="31" t="n">
        <f aca="false">INT((AH4-1)/12)+1</f>
        <v>3</v>
      </c>
      <c r="AI5" s="31" t="n">
        <f aca="false">INT((AI4-1)/12)+1</f>
        <v>3</v>
      </c>
      <c r="AJ5" s="31" t="n">
        <f aca="false">INT((AJ4-1)/12)+1</f>
        <v>3</v>
      </c>
      <c r="AK5" s="31" t="n">
        <f aca="false">INT((AK4-1)/12)+1</f>
        <v>3</v>
      </c>
      <c r="AL5" s="31" t="n">
        <f aca="false">INT((AL4-1)/12)+1</f>
        <v>3</v>
      </c>
      <c r="AM5" s="29" t="n">
        <v>1</v>
      </c>
      <c r="AN5" s="29" t="n">
        <v>2</v>
      </c>
      <c r="AO5" s="29" t="n">
        <v>3</v>
      </c>
    </row>
    <row r="6" customFormat="false" ht="15" hidden="false" customHeight="false" outlineLevel="0" collapsed="false">
      <c r="A6" s="5" t="s">
        <v>205</v>
      </c>
      <c r="B6" s="5" t="s">
        <v>63</v>
      </c>
      <c r="C6" s="32" t="n">
        <f aca="false">EDATE(Assumptions!$C$7,C4-1)</f>
        <v>46388</v>
      </c>
      <c r="D6" s="32" t="n">
        <f aca="false">EDATE(Assumptions!$C$7,D4-1)</f>
        <v>46419</v>
      </c>
      <c r="E6" s="32" t="n">
        <f aca="false">EDATE(Assumptions!$C$7,E4-1)</f>
        <v>46447</v>
      </c>
      <c r="F6" s="32" t="n">
        <f aca="false">EDATE(Assumptions!$C$7,F4-1)</f>
        <v>46478</v>
      </c>
      <c r="G6" s="32" t="n">
        <f aca="false">EDATE(Assumptions!$C$7,G4-1)</f>
        <v>46508</v>
      </c>
      <c r="H6" s="32" t="n">
        <f aca="false">EDATE(Assumptions!$C$7,H4-1)</f>
        <v>46539</v>
      </c>
      <c r="I6" s="32" t="n">
        <f aca="false">EDATE(Assumptions!$C$7,I4-1)</f>
        <v>46569</v>
      </c>
      <c r="J6" s="32" t="n">
        <f aca="false">EDATE(Assumptions!$C$7,J4-1)</f>
        <v>46600</v>
      </c>
      <c r="K6" s="32" t="n">
        <f aca="false">EDATE(Assumptions!$C$7,K4-1)</f>
        <v>46631</v>
      </c>
      <c r="L6" s="32" t="n">
        <f aca="false">EDATE(Assumptions!$C$7,L4-1)</f>
        <v>46661</v>
      </c>
      <c r="M6" s="32" t="n">
        <f aca="false">EDATE(Assumptions!$C$7,M4-1)</f>
        <v>46692</v>
      </c>
      <c r="N6" s="32" t="n">
        <f aca="false">EDATE(Assumptions!$C$7,N4-1)</f>
        <v>46722</v>
      </c>
      <c r="O6" s="32" t="n">
        <f aca="false">EDATE(Assumptions!$C$7,O4-1)</f>
        <v>46753</v>
      </c>
      <c r="P6" s="32" t="n">
        <f aca="false">EDATE(Assumptions!$C$7,P4-1)</f>
        <v>46784</v>
      </c>
      <c r="Q6" s="32" t="n">
        <f aca="false">EDATE(Assumptions!$C$7,Q4-1)</f>
        <v>46813</v>
      </c>
      <c r="R6" s="32" t="n">
        <f aca="false">EDATE(Assumptions!$C$7,R4-1)</f>
        <v>46844</v>
      </c>
      <c r="S6" s="32" t="n">
        <f aca="false">EDATE(Assumptions!$C$7,S4-1)</f>
        <v>46874</v>
      </c>
      <c r="T6" s="32" t="n">
        <f aca="false">EDATE(Assumptions!$C$7,T4-1)</f>
        <v>46905</v>
      </c>
      <c r="U6" s="32" t="n">
        <f aca="false">EDATE(Assumptions!$C$7,U4-1)</f>
        <v>46935</v>
      </c>
      <c r="V6" s="32" t="n">
        <f aca="false">EDATE(Assumptions!$C$7,V4-1)</f>
        <v>46966</v>
      </c>
      <c r="W6" s="32" t="n">
        <f aca="false">EDATE(Assumptions!$C$7,W4-1)</f>
        <v>46997</v>
      </c>
      <c r="X6" s="32" t="n">
        <f aca="false">EDATE(Assumptions!$C$7,X4-1)</f>
        <v>47027</v>
      </c>
      <c r="Y6" s="32" t="n">
        <f aca="false">EDATE(Assumptions!$C$7,Y4-1)</f>
        <v>47058</v>
      </c>
      <c r="Z6" s="32" t="n">
        <f aca="false">EDATE(Assumptions!$C$7,Z4-1)</f>
        <v>47088</v>
      </c>
      <c r="AA6" s="32" t="n">
        <f aca="false">EDATE(Assumptions!$C$7,AA4-1)</f>
        <v>47119</v>
      </c>
      <c r="AB6" s="32" t="n">
        <f aca="false">EDATE(Assumptions!$C$7,AB4-1)</f>
        <v>47150</v>
      </c>
      <c r="AC6" s="32" t="n">
        <f aca="false">EDATE(Assumptions!$C$7,AC4-1)</f>
        <v>47178</v>
      </c>
      <c r="AD6" s="32" t="n">
        <f aca="false">EDATE(Assumptions!$C$7,AD4-1)</f>
        <v>47209</v>
      </c>
      <c r="AE6" s="32" t="n">
        <f aca="false">EDATE(Assumptions!$C$7,AE4-1)</f>
        <v>47239</v>
      </c>
      <c r="AF6" s="32" t="n">
        <f aca="false">EDATE(Assumptions!$C$7,AF4-1)</f>
        <v>47270</v>
      </c>
      <c r="AG6" s="32" t="n">
        <f aca="false">EDATE(Assumptions!$C$7,AG4-1)</f>
        <v>47300</v>
      </c>
      <c r="AH6" s="32" t="n">
        <f aca="false">EDATE(Assumptions!$C$7,AH4-1)</f>
        <v>47331</v>
      </c>
      <c r="AI6" s="32" t="n">
        <f aca="false">EDATE(Assumptions!$C$7,AI4-1)</f>
        <v>47362</v>
      </c>
      <c r="AJ6" s="32" t="n">
        <f aca="false">EDATE(Assumptions!$C$7,AJ4-1)</f>
        <v>47392</v>
      </c>
      <c r="AK6" s="32" t="n">
        <f aca="false">EDATE(Assumptions!$C$7,AK4-1)</f>
        <v>47423</v>
      </c>
      <c r="AL6" s="32" t="n">
        <f aca="false">EDATE(Assumptions!$C$7,AL4-1)</f>
        <v>47453</v>
      </c>
      <c r="AM6" s="33" t="s">
        <v>206</v>
      </c>
      <c r="AN6" s="33" t="s">
        <v>207</v>
      </c>
      <c r="AO6" s="33" t="s">
        <v>208</v>
      </c>
    </row>
    <row r="7" customFormat="false" ht="15" hidden="false" customHeight="false" outlineLevel="0" collapsed="false">
      <c r="A7" s="7" t="s">
        <v>210</v>
      </c>
      <c r="B7" s="2" t="s">
        <v>74</v>
      </c>
      <c r="C7" s="50" t="n">
        <f aca="false">Revenue!C8</f>
        <v>26.5714285714286</v>
      </c>
      <c r="D7" s="50" t="n">
        <f aca="false">Revenue!D8</f>
        <v>24</v>
      </c>
      <c r="E7" s="50" t="n">
        <f aca="false">Revenue!E8</f>
        <v>26.5714285714286</v>
      </c>
      <c r="F7" s="50" t="n">
        <f aca="false">Revenue!F8</f>
        <v>25.7142857142857</v>
      </c>
      <c r="G7" s="50" t="n">
        <f aca="false">Revenue!G8</f>
        <v>26.5714285714286</v>
      </c>
      <c r="H7" s="50" t="n">
        <f aca="false">Revenue!H8</f>
        <v>25.7142857142857</v>
      </c>
      <c r="I7" s="50" t="n">
        <f aca="false">Revenue!I8</f>
        <v>26.5714285714286</v>
      </c>
      <c r="J7" s="50" t="n">
        <f aca="false">Revenue!J8</f>
        <v>26.5714285714286</v>
      </c>
      <c r="K7" s="50" t="n">
        <f aca="false">Revenue!K8</f>
        <v>25.7142857142857</v>
      </c>
      <c r="L7" s="50" t="n">
        <f aca="false">Revenue!L8</f>
        <v>26.5714285714286</v>
      </c>
      <c r="M7" s="50" t="n">
        <f aca="false">Revenue!M8</f>
        <v>25.7142857142857</v>
      </c>
      <c r="N7" s="50" t="n">
        <f aca="false">Revenue!N8</f>
        <v>26.5714285714286</v>
      </c>
      <c r="O7" s="50" t="n">
        <f aca="false">Revenue!O8</f>
        <v>26.5714285714286</v>
      </c>
      <c r="P7" s="50" t="n">
        <f aca="false">Revenue!P8</f>
        <v>24.8571428571429</v>
      </c>
      <c r="Q7" s="50" t="n">
        <f aca="false">Revenue!Q8</f>
        <v>26.5714285714286</v>
      </c>
      <c r="R7" s="50" t="n">
        <f aca="false">Revenue!R8</f>
        <v>25.7142857142857</v>
      </c>
      <c r="S7" s="50" t="n">
        <f aca="false">Revenue!S8</f>
        <v>26.5714285714286</v>
      </c>
      <c r="T7" s="50" t="n">
        <f aca="false">Revenue!T8</f>
        <v>25.7142857142857</v>
      </c>
      <c r="U7" s="50" t="n">
        <f aca="false">Revenue!U8</f>
        <v>26.5714285714286</v>
      </c>
      <c r="V7" s="50" t="n">
        <f aca="false">Revenue!V8</f>
        <v>26.5714285714286</v>
      </c>
      <c r="W7" s="50" t="n">
        <f aca="false">Revenue!W8</f>
        <v>25.7142857142857</v>
      </c>
      <c r="X7" s="50" t="n">
        <f aca="false">Revenue!X8</f>
        <v>26.5714285714286</v>
      </c>
      <c r="Y7" s="50" t="n">
        <f aca="false">Revenue!Y8</f>
        <v>25.7142857142857</v>
      </c>
      <c r="Z7" s="50" t="n">
        <f aca="false">Revenue!Z8</f>
        <v>26.5714285714286</v>
      </c>
      <c r="AA7" s="50" t="n">
        <f aca="false">Revenue!AA8</f>
        <v>26.5714285714286</v>
      </c>
      <c r="AB7" s="50" t="n">
        <f aca="false">Revenue!AB8</f>
        <v>24</v>
      </c>
      <c r="AC7" s="50" t="n">
        <f aca="false">Revenue!AC8</f>
        <v>26.5714285714286</v>
      </c>
      <c r="AD7" s="50" t="n">
        <f aca="false">Revenue!AD8</f>
        <v>25.7142857142857</v>
      </c>
      <c r="AE7" s="50" t="n">
        <f aca="false">Revenue!AE8</f>
        <v>26.5714285714286</v>
      </c>
      <c r="AF7" s="50" t="n">
        <f aca="false">Revenue!AF8</f>
        <v>25.7142857142857</v>
      </c>
      <c r="AG7" s="50" t="n">
        <f aca="false">Revenue!AG8</f>
        <v>26.5714285714286</v>
      </c>
      <c r="AH7" s="50" t="n">
        <f aca="false">Revenue!AH8</f>
        <v>26.5714285714286</v>
      </c>
      <c r="AI7" s="50" t="n">
        <f aca="false">Revenue!AI8</f>
        <v>25.7142857142857</v>
      </c>
      <c r="AJ7" s="50" t="n">
        <f aca="false">Revenue!AJ8</f>
        <v>26.5714285714286</v>
      </c>
      <c r="AK7" s="50" t="n">
        <f aca="false">Revenue!AK8</f>
        <v>25.7142857142857</v>
      </c>
      <c r="AL7" s="50" t="n">
        <f aca="false">Revenue!AL8</f>
        <v>26.5714285714286</v>
      </c>
      <c r="AM7" s="36" t="n">
        <f aca="false">SUMIF($C$5:$AL$5,AM$5,$C7:$AL7)</f>
        <v>312.857142857143</v>
      </c>
      <c r="AN7" s="36" t="n">
        <f aca="false">SUMIF($C$5:$AL$5,AN$5,$C7:$AL7)</f>
        <v>313.714285714286</v>
      </c>
      <c r="AO7" s="36" t="n">
        <f aca="false">SUMIF($C$5:$AL$5,AO$5,$C7:$AL7)</f>
        <v>312.857142857143</v>
      </c>
    </row>
    <row r="8" customFormat="false" ht="15" hidden="false" customHeight="false" outlineLevel="0" collapsed="false">
      <c r="A8" s="7" t="s">
        <v>239</v>
      </c>
      <c r="B8" s="2"/>
      <c r="C8" s="37" t="n">
        <f aca="false">(1+Assumptions!$C$59)^(C5-1)</f>
        <v>1</v>
      </c>
      <c r="D8" s="37" t="n">
        <f aca="false">(1+Assumptions!$C$59)^(D5-1)</f>
        <v>1</v>
      </c>
      <c r="E8" s="37" t="n">
        <f aca="false">(1+Assumptions!$C$59)^(E5-1)</f>
        <v>1</v>
      </c>
      <c r="F8" s="37" t="n">
        <f aca="false">(1+Assumptions!$C$59)^(F5-1)</f>
        <v>1</v>
      </c>
      <c r="G8" s="37" t="n">
        <f aca="false">(1+Assumptions!$C$59)^(G5-1)</f>
        <v>1</v>
      </c>
      <c r="H8" s="37" t="n">
        <f aca="false">(1+Assumptions!$C$59)^(H5-1)</f>
        <v>1</v>
      </c>
      <c r="I8" s="37" t="n">
        <f aca="false">(1+Assumptions!$C$59)^(I5-1)</f>
        <v>1</v>
      </c>
      <c r="J8" s="37" t="n">
        <f aca="false">(1+Assumptions!$C$59)^(J5-1)</f>
        <v>1</v>
      </c>
      <c r="K8" s="37" t="n">
        <f aca="false">(1+Assumptions!$C$59)^(K5-1)</f>
        <v>1</v>
      </c>
      <c r="L8" s="37" t="n">
        <f aca="false">(1+Assumptions!$C$59)^(L5-1)</f>
        <v>1</v>
      </c>
      <c r="M8" s="37" t="n">
        <f aca="false">(1+Assumptions!$C$59)^(M5-1)</f>
        <v>1</v>
      </c>
      <c r="N8" s="37" t="n">
        <f aca="false">(1+Assumptions!$C$59)^(N5-1)</f>
        <v>1</v>
      </c>
      <c r="O8" s="37" t="n">
        <f aca="false">(1+Assumptions!$C$59)^(O5-1)</f>
        <v>1.03</v>
      </c>
      <c r="P8" s="37" t="n">
        <f aca="false">(1+Assumptions!$C$59)^(P5-1)</f>
        <v>1.03</v>
      </c>
      <c r="Q8" s="37" t="n">
        <f aca="false">(1+Assumptions!$C$59)^(Q5-1)</f>
        <v>1.03</v>
      </c>
      <c r="R8" s="37" t="n">
        <f aca="false">(1+Assumptions!$C$59)^(R5-1)</f>
        <v>1.03</v>
      </c>
      <c r="S8" s="37" t="n">
        <f aca="false">(1+Assumptions!$C$59)^(S5-1)</f>
        <v>1.03</v>
      </c>
      <c r="T8" s="37" t="n">
        <f aca="false">(1+Assumptions!$C$59)^(T5-1)</f>
        <v>1.03</v>
      </c>
      <c r="U8" s="37" t="n">
        <f aca="false">(1+Assumptions!$C$59)^(U5-1)</f>
        <v>1.03</v>
      </c>
      <c r="V8" s="37" t="n">
        <f aca="false">(1+Assumptions!$C$59)^(V5-1)</f>
        <v>1.03</v>
      </c>
      <c r="W8" s="37" t="n">
        <f aca="false">(1+Assumptions!$C$59)^(W5-1)</f>
        <v>1.03</v>
      </c>
      <c r="X8" s="37" t="n">
        <f aca="false">(1+Assumptions!$C$59)^(X5-1)</f>
        <v>1.03</v>
      </c>
      <c r="Y8" s="37" t="n">
        <f aca="false">(1+Assumptions!$C$59)^(Y5-1)</f>
        <v>1.03</v>
      </c>
      <c r="Z8" s="37" t="n">
        <f aca="false">(1+Assumptions!$C$59)^(Z5-1)</f>
        <v>1.03</v>
      </c>
      <c r="AA8" s="37" t="n">
        <f aca="false">(1+Assumptions!$C$59)^(AA5-1)</f>
        <v>1.0609</v>
      </c>
      <c r="AB8" s="37" t="n">
        <f aca="false">(1+Assumptions!$C$59)^(AB5-1)</f>
        <v>1.0609</v>
      </c>
      <c r="AC8" s="37" t="n">
        <f aca="false">(1+Assumptions!$C$59)^(AC5-1)</f>
        <v>1.0609</v>
      </c>
      <c r="AD8" s="37" t="n">
        <f aca="false">(1+Assumptions!$C$59)^(AD5-1)</f>
        <v>1.0609</v>
      </c>
      <c r="AE8" s="37" t="n">
        <f aca="false">(1+Assumptions!$C$59)^(AE5-1)</f>
        <v>1.0609</v>
      </c>
      <c r="AF8" s="37" t="n">
        <f aca="false">(1+Assumptions!$C$59)^(AF5-1)</f>
        <v>1.0609</v>
      </c>
      <c r="AG8" s="37" t="n">
        <f aca="false">(1+Assumptions!$C$59)^(AG5-1)</f>
        <v>1.0609</v>
      </c>
      <c r="AH8" s="37" t="n">
        <f aca="false">(1+Assumptions!$C$59)^(AH5-1)</f>
        <v>1.0609</v>
      </c>
      <c r="AI8" s="37" t="n">
        <f aca="false">(1+Assumptions!$C$59)^(AI5-1)</f>
        <v>1.0609</v>
      </c>
      <c r="AJ8" s="37" t="n">
        <f aca="false">(1+Assumptions!$C$59)^(AJ5-1)</f>
        <v>1.0609</v>
      </c>
      <c r="AK8" s="37" t="n">
        <f aca="false">(1+Assumptions!$C$59)^(AK5-1)</f>
        <v>1.0609</v>
      </c>
      <c r="AL8" s="37" t="n">
        <f aca="false">(1+Assumptions!$C$59)^(AL5-1)</f>
        <v>1.0609</v>
      </c>
    </row>
    <row r="10" customFormat="false" ht="15" hidden="false" customHeight="false" outlineLevel="0" collapsed="false">
      <c r="A10" s="7" t="s">
        <v>240</v>
      </c>
      <c r="B10" s="2" t="s">
        <v>241</v>
      </c>
      <c r="C10" s="38" t="n">
        <f aca="false">Assumptions!$C$55*C7</f>
        <v>956.571428571429</v>
      </c>
      <c r="D10" s="38" t="n">
        <f aca="false">Assumptions!$C$55*D7</f>
        <v>864</v>
      </c>
      <c r="E10" s="38" t="n">
        <f aca="false">Assumptions!$C$55*E7</f>
        <v>956.571428571429</v>
      </c>
      <c r="F10" s="38" t="n">
        <f aca="false">Assumptions!$C$55*F7</f>
        <v>925.714285714286</v>
      </c>
      <c r="G10" s="38" t="n">
        <f aca="false">Assumptions!$C$55*G7</f>
        <v>956.571428571429</v>
      </c>
      <c r="H10" s="38" t="n">
        <f aca="false">Assumptions!$C$55*H7</f>
        <v>925.714285714286</v>
      </c>
      <c r="I10" s="38" t="n">
        <f aca="false">Assumptions!$C$55*I7</f>
        <v>956.571428571429</v>
      </c>
      <c r="J10" s="38" t="n">
        <f aca="false">Assumptions!$C$55*J7</f>
        <v>956.571428571429</v>
      </c>
      <c r="K10" s="38" t="n">
        <f aca="false">Assumptions!$C$55*K7</f>
        <v>925.714285714286</v>
      </c>
      <c r="L10" s="38" t="n">
        <f aca="false">Assumptions!$C$55*L7</f>
        <v>956.571428571429</v>
      </c>
      <c r="M10" s="38" t="n">
        <f aca="false">Assumptions!$C$55*M7</f>
        <v>925.714285714286</v>
      </c>
      <c r="N10" s="38" t="n">
        <f aca="false">Assumptions!$C$55*N7</f>
        <v>956.571428571429</v>
      </c>
      <c r="O10" s="38" t="n">
        <f aca="false">Assumptions!$C$55*O7</f>
        <v>956.571428571429</v>
      </c>
      <c r="P10" s="38" t="n">
        <f aca="false">Assumptions!$C$55*P7</f>
        <v>894.857142857143</v>
      </c>
      <c r="Q10" s="38" t="n">
        <f aca="false">Assumptions!$C$55*Q7</f>
        <v>956.571428571429</v>
      </c>
      <c r="R10" s="38" t="n">
        <f aca="false">Assumptions!$C$55*R7</f>
        <v>925.714285714286</v>
      </c>
      <c r="S10" s="38" t="n">
        <f aca="false">Assumptions!$C$55*S7</f>
        <v>956.571428571429</v>
      </c>
      <c r="T10" s="38" t="n">
        <f aca="false">Assumptions!$C$55*T7</f>
        <v>925.714285714286</v>
      </c>
      <c r="U10" s="38" t="n">
        <f aca="false">Assumptions!$C$55*U7</f>
        <v>956.571428571429</v>
      </c>
      <c r="V10" s="38" t="n">
        <f aca="false">Assumptions!$C$55*V7</f>
        <v>956.571428571429</v>
      </c>
      <c r="W10" s="38" t="n">
        <f aca="false">Assumptions!$C$55*W7</f>
        <v>925.714285714286</v>
      </c>
      <c r="X10" s="38" t="n">
        <f aca="false">Assumptions!$C$55*X7</f>
        <v>956.571428571429</v>
      </c>
      <c r="Y10" s="38" t="n">
        <f aca="false">Assumptions!$C$55*Y7</f>
        <v>925.714285714286</v>
      </c>
      <c r="Z10" s="38" t="n">
        <f aca="false">Assumptions!$C$55*Z7</f>
        <v>956.571428571429</v>
      </c>
      <c r="AA10" s="38" t="n">
        <f aca="false">Assumptions!$C$55*AA7</f>
        <v>956.571428571429</v>
      </c>
      <c r="AB10" s="38" t="n">
        <f aca="false">Assumptions!$C$55*AB7</f>
        <v>864</v>
      </c>
      <c r="AC10" s="38" t="n">
        <f aca="false">Assumptions!$C$55*AC7</f>
        <v>956.571428571429</v>
      </c>
      <c r="AD10" s="38" t="n">
        <f aca="false">Assumptions!$C$55*AD7</f>
        <v>925.714285714286</v>
      </c>
      <c r="AE10" s="38" t="n">
        <f aca="false">Assumptions!$C$55*AE7</f>
        <v>956.571428571429</v>
      </c>
      <c r="AF10" s="38" t="n">
        <f aca="false">Assumptions!$C$55*AF7</f>
        <v>925.714285714286</v>
      </c>
      <c r="AG10" s="38" t="n">
        <f aca="false">Assumptions!$C$55*AG7</f>
        <v>956.571428571429</v>
      </c>
      <c r="AH10" s="38" t="n">
        <f aca="false">Assumptions!$C$55*AH7</f>
        <v>956.571428571429</v>
      </c>
      <c r="AI10" s="38" t="n">
        <f aca="false">Assumptions!$C$55*AI7</f>
        <v>925.714285714286</v>
      </c>
      <c r="AJ10" s="38" t="n">
        <f aca="false">Assumptions!$C$55*AJ7</f>
        <v>956.571428571429</v>
      </c>
      <c r="AK10" s="38" t="n">
        <f aca="false">Assumptions!$C$55*AK7</f>
        <v>925.714285714286</v>
      </c>
      <c r="AL10" s="38" t="n">
        <f aca="false">Assumptions!$C$55*AL7</f>
        <v>956.571428571429</v>
      </c>
      <c r="AM10" s="39" t="n">
        <f aca="false">SUMIF($C$5:$AL$5,AM$5,$C10:$AL10)</f>
        <v>11262.8571428571</v>
      </c>
      <c r="AN10" s="39" t="n">
        <f aca="false">SUMIF($C$5:$AL$5,AN$5,$C10:$AL10)</f>
        <v>11293.7142857143</v>
      </c>
      <c r="AO10" s="39" t="n">
        <f aca="false">SUMIF($C$5:$AL$5,AO$5,$C10:$AL10)</f>
        <v>11262.8571428571</v>
      </c>
    </row>
    <row r="11" customFormat="false" ht="15" hidden="false" customHeight="false" outlineLevel="0" collapsed="false">
      <c r="A11" s="7" t="s">
        <v>242</v>
      </c>
      <c r="B11" s="2"/>
      <c r="C11" s="28" t="n">
        <f aca="false">C10*Assumptions!$C$54*C8</f>
        <v>11478.8571428571</v>
      </c>
      <c r="D11" s="28" t="n">
        <f aca="false">D10*Assumptions!$C$54*D8</f>
        <v>10368</v>
      </c>
      <c r="E11" s="28" t="n">
        <f aca="false">E10*Assumptions!$C$54*E8</f>
        <v>11478.8571428571</v>
      </c>
      <c r="F11" s="28" t="n">
        <f aca="false">F10*Assumptions!$C$54*F8</f>
        <v>11108.5714285714</v>
      </c>
      <c r="G11" s="28" t="n">
        <f aca="false">G10*Assumptions!$C$54*G8</f>
        <v>11478.8571428571</v>
      </c>
      <c r="H11" s="28" t="n">
        <f aca="false">H10*Assumptions!$C$54*H8</f>
        <v>11108.5714285714</v>
      </c>
      <c r="I11" s="28" t="n">
        <f aca="false">I10*Assumptions!$C$54*I8</f>
        <v>11478.8571428571</v>
      </c>
      <c r="J11" s="28" t="n">
        <f aca="false">J10*Assumptions!$C$54*J8</f>
        <v>11478.8571428571</v>
      </c>
      <c r="K11" s="28" t="n">
        <f aca="false">K10*Assumptions!$C$54*K8</f>
        <v>11108.5714285714</v>
      </c>
      <c r="L11" s="28" t="n">
        <f aca="false">L10*Assumptions!$C$54*L8</f>
        <v>11478.8571428571</v>
      </c>
      <c r="M11" s="28" t="n">
        <f aca="false">M10*Assumptions!$C$54*M8</f>
        <v>11108.5714285714</v>
      </c>
      <c r="N11" s="28" t="n">
        <f aca="false">N10*Assumptions!$C$54*N8</f>
        <v>11478.8571428571</v>
      </c>
      <c r="O11" s="28" t="n">
        <f aca="false">O10*Assumptions!$C$54*O8</f>
        <v>11823.2228571429</v>
      </c>
      <c r="P11" s="28" t="n">
        <f aca="false">P10*Assumptions!$C$54*P8</f>
        <v>11060.4342857143</v>
      </c>
      <c r="Q11" s="28" t="n">
        <f aca="false">Q10*Assumptions!$C$54*Q8</f>
        <v>11823.2228571429</v>
      </c>
      <c r="R11" s="28" t="n">
        <f aca="false">R10*Assumptions!$C$54*R8</f>
        <v>11441.8285714286</v>
      </c>
      <c r="S11" s="28" t="n">
        <f aca="false">S10*Assumptions!$C$54*S8</f>
        <v>11823.2228571429</v>
      </c>
      <c r="T11" s="28" t="n">
        <f aca="false">T10*Assumptions!$C$54*T8</f>
        <v>11441.8285714286</v>
      </c>
      <c r="U11" s="28" t="n">
        <f aca="false">U10*Assumptions!$C$54*U8</f>
        <v>11823.2228571429</v>
      </c>
      <c r="V11" s="28" t="n">
        <f aca="false">V10*Assumptions!$C$54*V8</f>
        <v>11823.2228571429</v>
      </c>
      <c r="W11" s="28" t="n">
        <f aca="false">W10*Assumptions!$C$54*W8</f>
        <v>11441.8285714286</v>
      </c>
      <c r="X11" s="28" t="n">
        <f aca="false">X10*Assumptions!$C$54*X8</f>
        <v>11823.2228571429</v>
      </c>
      <c r="Y11" s="28" t="n">
        <f aca="false">Y10*Assumptions!$C$54*Y8</f>
        <v>11441.8285714286</v>
      </c>
      <c r="Z11" s="28" t="n">
        <f aca="false">Z10*Assumptions!$C$54*Z8</f>
        <v>11823.2228571429</v>
      </c>
      <c r="AA11" s="28" t="n">
        <f aca="false">AA10*Assumptions!$C$54*AA8</f>
        <v>12177.9195428571</v>
      </c>
      <c r="AB11" s="28" t="n">
        <f aca="false">AB10*Assumptions!$C$54*AB8</f>
        <v>10999.4112</v>
      </c>
      <c r="AC11" s="28" t="n">
        <f aca="false">AC10*Assumptions!$C$54*AC8</f>
        <v>12177.9195428571</v>
      </c>
      <c r="AD11" s="28" t="n">
        <f aca="false">AD10*Assumptions!$C$54*AD8</f>
        <v>11785.0834285714</v>
      </c>
      <c r="AE11" s="28" t="n">
        <f aca="false">AE10*Assumptions!$C$54*AE8</f>
        <v>12177.9195428571</v>
      </c>
      <c r="AF11" s="28" t="n">
        <f aca="false">AF10*Assumptions!$C$54*AF8</f>
        <v>11785.0834285714</v>
      </c>
      <c r="AG11" s="28" t="n">
        <f aca="false">AG10*Assumptions!$C$54*AG8</f>
        <v>12177.9195428571</v>
      </c>
      <c r="AH11" s="28" t="n">
        <f aca="false">AH10*Assumptions!$C$54*AH8</f>
        <v>12177.9195428571</v>
      </c>
      <c r="AI11" s="28" t="n">
        <f aca="false">AI10*Assumptions!$C$54*AI8</f>
        <v>11785.0834285714</v>
      </c>
      <c r="AJ11" s="28" t="n">
        <f aca="false">AJ10*Assumptions!$C$54*AJ8</f>
        <v>12177.9195428571</v>
      </c>
      <c r="AK11" s="28" t="n">
        <f aca="false">AK10*Assumptions!$C$54*AK8</f>
        <v>11785.0834285714</v>
      </c>
      <c r="AL11" s="28" t="n">
        <f aca="false">AL10*Assumptions!$C$54*AL8</f>
        <v>12177.9195428571</v>
      </c>
      <c r="AM11" s="44" t="n">
        <f aca="false">SUMIF($C$5:$AL$5,AM$5,$C11:$AL11)</f>
        <v>135154.285714286</v>
      </c>
      <c r="AN11" s="44" t="n">
        <f aca="false">SUMIF($C$5:$AL$5,AN$5,$C11:$AL11)</f>
        <v>139590.308571429</v>
      </c>
      <c r="AO11" s="44" t="n">
        <f aca="false">SUMIF($C$5:$AL$5,AO$5,$C11:$AL11)</f>
        <v>143385.181714286</v>
      </c>
    </row>
    <row r="12" customFormat="false" ht="15" hidden="false" customHeight="false" outlineLevel="0" collapsed="false">
      <c r="A12" s="7" t="s">
        <v>243</v>
      </c>
      <c r="B12" s="2" t="s">
        <v>241</v>
      </c>
      <c r="C12" s="38" t="n">
        <f aca="false">Assumptions!$C$57*C7</f>
        <v>1062.85714285714</v>
      </c>
      <c r="D12" s="38" t="n">
        <f aca="false">Assumptions!$C$57*D7</f>
        <v>960</v>
      </c>
      <c r="E12" s="38" t="n">
        <f aca="false">Assumptions!$C$57*E7</f>
        <v>1062.85714285714</v>
      </c>
      <c r="F12" s="38" t="n">
        <f aca="false">Assumptions!$C$57*F7</f>
        <v>1028.57142857143</v>
      </c>
      <c r="G12" s="38" t="n">
        <f aca="false">Assumptions!$C$57*G7</f>
        <v>1062.85714285714</v>
      </c>
      <c r="H12" s="38" t="n">
        <f aca="false">Assumptions!$C$57*H7</f>
        <v>1028.57142857143</v>
      </c>
      <c r="I12" s="38" t="n">
        <f aca="false">Assumptions!$C$57*I7</f>
        <v>1062.85714285714</v>
      </c>
      <c r="J12" s="38" t="n">
        <f aca="false">Assumptions!$C$57*J7</f>
        <v>1062.85714285714</v>
      </c>
      <c r="K12" s="38" t="n">
        <f aca="false">Assumptions!$C$57*K7</f>
        <v>1028.57142857143</v>
      </c>
      <c r="L12" s="38" t="n">
        <f aca="false">Assumptions!$C$57*L7</f>
        <v>1062.85714285714</v>
      </c>
      <c r="M12" s="38" t="n">
        <f aca="false">Assumptions!$C$57*M7</f>
        <v>1028.57142857143</v>
      </c>
      <c r="N12" s="38" t="n">
        <f aca="false">Assumptions!$C$57*N7</f>
        <v>1062.85714285714</v>
      </c>
      <c r="O12" s="38" t="n">
        <f aca="false">Assumptions!$C$57*O7</f>
        <v>1062.85714285714</v>
      </c>
      <c r="P12" s="38" t="n">
        <f aca="false">Assumptions!$C$57*P7</f>
        <v>994.285714285714</v>
      </c>
      <c r="Q12" s="38" t="n">
        <f aca="false">Assumptions!$C$57*Q7</f>
        <v>1062.85714285714</v>
      </c>
      <c r="R12" s="38" t="n">
        <f aca="false">Assumptions!$C$57*R7</f>
        <v>1028.57142857143</v>
      </c>
      <c r="S12" s="38" t="n">
        <f aca="false">Assumptions!$C$57*S7</f>
        <v>1062.85714285714</v>
      </c>
      <c r="T12" s="38" t="n">
        <f aca="false">Assumptions!$C$57*T7</f>
        <v>1028.57142857143</v>
      </c>
      <c r="U12" s="38" t="n">
        <f aca="false">Assumptions!$C$57*U7</f>
        <v>1062.85714285714</v>
      </c>
      <c r="V12" s="38" t="n">
        <f aca="false">Assumptions!$C$57*V7</f>
        <v>1062.85714285714</v>
      </c>
      <c r="W12" s="38" t="n">
        <f aca="false">Assumptions!$C$57*W7</f>
        <v>1028.57142857143</v>
      </c>
      <c r="X12" s="38" t="n">
        <f aca="false">Assumptions!$C$57*X7</f>
        <v>1062.85714285714</v>
      </c>
      <c r="Y12" s="38" t="n">
        <f aca="false">Assumptions!$C$57*Y7</f>
        <v>1028.57142857143</v>
      </c>
      <c r="Z12" s="38" t="n">
        <f aca="false">Assumptions!$C$57*Z7</f>
        <v>1062.85714285714</v>
      </c>
      <c r="AA12" s="38" t="n">
        <f aca="false">Assumptions!$C$57*AA7</f>
        <v>1062.85714285714</v>
      </c>
      <c r="AB12" s="38" t="n">
        <f aca="false">Assumptions!$C$57*AB7</f>
        <v>960</v>
      </c>
      <c r="AC12" s="38" t="n">
        <f aca="false">Assumptions!$C$57*AC7</f>
        <v>1062.85714285714</v>
      </c>
      <c r="AD12" s="38" t="n">
        <f aca="false">Assumptions!$C$57*AD7</f>
        <v>1028.57142857143</v>
      </c>
      <c r="AE12" s="38" t="n">
        <f aca="false">Assumptions!$C$57*AE7</f>
        <v>1062.85714285714</v>
      </c>
      <c r="AF12" s="38" t="n">
        <f aca="false">Assumptions!$C$57*AF7</f>
        <v>1028.57142857143</v>
      </c>
      <c r="AG12" s="38" t="n">
        <f aca="false">Assumptions!$C$57*AG7</f>
        <v>1062.85714285714</v>
      </c>
      <c r="AH12" s="38" t="n">
        <f aca="false">Assumptions!$C$57*AH7</f>
        <v>1062.85714285714</v>
      </c>
      <c r="AI12" s="38" t="n">
        <f aca="false">Assumptions!$C$57*AI7</f>
        <v>1028.57142857143</v>
      </c>
      <c r="AJ12" s="38" t="n">
        <f aca="false">Assumptions!$C$57*AJ7</f>
        <v>1062.85714285714</v>
      </c>
      <c r="AK12" s="38" t="n">
        <f aca="false">Assumptions!$C$57*AK7</f>
        <v>1028.57142857143</v>
      </c>
      <c r="AL12" s="38" t="n">
        <f aca="false">Assumptions!$C$57*AL7</f>
        <v>1062.85714285714</v>
      </c>
      <c r="AM12" s="39" t="n">
        <f aca="false">SUMIF($C$5:$AL$5,AM$5,$C12:$AL12)</f>
        <v>12514.2857142857</v>
      </c>
      <c r="AN12" s="39" t="n">
        <f aca="false">SUMIF($C$5:$AL$5,AN$5,$C12:$AL12)</f>
        <v>12548.5714285714</v>
      </c>
      <c r="AO12" s="39" t="n">
        <f aca="false">SUMIF($C$5:$AL$5,AO$5,$C12:$AL12)</f>
        <v>12514.2857142857</v>
      </c>
    </row>
    <row r="13" customFormat="false" ht="15" hidden="false" customHeight="false" outlineLevel="0" collapsed="false">
      <c r="A13" s="7" t="s">
        <v>244</v>
      </c>
      <c r="B13" s="2"/>
      <c r="C13" s="28" t="n">
        <f aca="false">C12*Assumptions!$C$56*C8</f>
        <v>19131.4285714286</v>
      </c>
      <c r="D13" s="28" t="n">
        <f aca="false">D12*Assumptions!$C$56*D8</f>
        <v>17280</v>
      </c>
      <c r="E13" s="28" t="n">
        <f aca="false">E12*Assumptions!$C$56*E8</f>
        <v>19131.4285714286</v>
      </c>
      <c r="F13" s="28" t="n">
        <f aca="false">F12*Assumptions!$C$56*F8</f>
        <v>18514.2857142857</v>
      </c>
      <c r="G13" s="28" t="n">
        <f aca="false">G12*Assumptions!$C$56*G8</f>
        <v>19131.4285714286</v>
      </c>
      <c r="H13" s="28" t="n">
        <f aca="false">H12*Assumptions!$C$56*H8</f>
        <v>18514.2857142857</v>
      </c>
      <c r="I13" s="28" t="n">
        <f aca="false">I12*Assumptions!$C$56*I8</f>
        <v>19131.4285714286</v>
      </c>
      <c r="J13" s="28" t="n">
        <f aca="false">J12*Assumptions!$C$56*J8</f>
        <v>19131.4285714286</v>
      </c>
      <c r="K13" s="28" t="n">
        <f aca="false">K12*Assumptions!$C$56*K8</f>
        <v>18514.2857142857</v>
      </c>
      <c r="L13" s="28" t="n">
        <f aca="false">L12*Assumptions!$C$56*L8</f>
        <v>19131.4285714286</v>
      </c>
      <c r="M13" s="28" t="n">
        <f aca="false">M12*Assumptions!$C$56*M8</f>
        <v>18514.2857142857</v>
      </c>
      <c r="N13" s="28" t="n">
        <f aca="false">N12*Assumptions!$C$56*N8</f>
        <v>19131.4285714286</v>
      </c>
      <c r="O13" s="28" t="n">
        <f aca="false">O12*Assumptions!$C$56*O8</f>
        <v>19705.3714285714</v>
      </c>
      <c r="P13" s="28" t="n">
        <f aca="false">P12*Assumptions!$C$56*P8</f>
        <v>18434.0571428571</v>
      </c>
      <c r="Q13" s="28" t="n">
        <f aca="false">Q12*Assumptions!$C$56*Q8</f>
        <v>19705.3714285714</v>
      </c>
      <c r="R13" s="28" t="n">
        <f aca="false">R12*Assumptions!$C$56*R8</f>
        <v>19069.7142857143</v>
      </c>
      <c r="S13" s="28" t="n">
        <f aca="false">S12*Assumptions!$C$56*S8</f>
        <v>19705.3714285714</v>
      </c>
      <c r="T13" s="28" t="n">
        <f aca="false">T12*Assumptions!$C$56*T8</f>
        <v>19069.7142857143</v>
      </c>
      <c r="U13" s="28" t="n">
        <f aca="false">U12*Assumptions!$C$56*U8</f>
        <v>19705.3714285714</v>
      </c>
      <c r="V13" s="28" t="n">
        <f aca="false">V12*Assumptions!$C$56*V8</f>
        <v>19705.3714285714</v>
      </c>
      <c r="W13" s="28" t="n">
        <f aca="false">W12*Assumptions!$C$56*W8</f>
        <v>19069.7142857143</v>
      </c>
      <c r="X13" s="28" t="n">
        <f aca="false">X12*Assumptions!$C$56*X8</f>
        <v>19705.3714285714</v>
      </c>
      <c r="Y13" s="28" t="n">
        <f aca="false">Y12*Assumptions!$C$56*Y8</f>
        <v>19069.7142857143</v>
      </c>
      <c r="Z13" s="28" t="n">
        <f aca="false">Z12*Assumptions!$C$56*Z8</f>
        <v>19705.3714285714</v>
      </c>
      <c r="AA13" s="28" t="n">
        <f aca="false">AA12*Assumptions!$C$56*AA8</f>
        <v>20296.5325714286</v>
      </c>
      <c r="AB13" s="28" t="n">
        <f aca="false">AB12*Assumptions!$C$56*AB8</f>
        <v>18332.352</v>
      </c>
      <c r="AC13" s="28" t="n">
        <f aca="false">AC12*Assumptions!$C$56*AC8</f>
        <v>20296.5325714286</v>
      </c>
      <c r="AD13" s="28" t="n">
        <f aca="false">AD12*Assumptions!$C$56*AD8</f>
        <v>19641.8057142857</v>
      </c>
      <c r="AE13" s="28" t="n">
        <f aca="false">AE12*Assumptions!$C$56*AE8</f>
        <v>20296.5325714286</v>
      </c>
      <c r="AF13" s="28" t="n">
        <f aca="false">AF12*Assumptions!$C$56*AF8</f>
        <v>19641.8057142857</v>
      </c>
      <c r="AG13" s="28" t="n">
        <f aca="false">AG12*Assumptions!$C$56*AG8</f>
        <v>20296.5325714286</v>
      </c>
      <c r="AH13" s="28" t="n">
        <f aca="false">AH12*Assumptions!$C$56*AH8</f>
        <v>20296.5325714286</v>
      </c>
      <c r="AI13" s="28" t="n">
        <f aca="false">AI12*Assumptions!$C$56*AI8</f>
        <v>19641.8057142857</v>
      </c>
      <c r="AJ13" s="28" t="n">
        <f aca="false">AJ12*Assumptions!$C$56*AJ8</f>
        <v>20296.5325714286</v>
      </c>
      <c r="AK13" s="28" t="n">
        <f aca="false">AK12*Assumptions!$C$56*AK8</f>
        <v>19641.8057142857</v>
      </c>
      <c r="AL13" s="28" t="n">
        <f aca="false">AL12*Assumptions!$C$56*AL8</f>
        <v>20296.5325714286</v>
      </c>
      <c r="AM13" s="44" t="n">
        <f aca="false">SUMIF($C$5:$AL$5,AM$5,$C13:$AL13)</f>
        <v>225257.142857143</v>
      </c>
      <c r="AN13" s="44" t="n">
        <f aca="false">SUMIF($C$5:$AL$5,AN$5,$C13:$AL13)</f>
        <v>232650.514285714</v>
      </c>
      <c r="AO13" s="44" t="n">
        <f aca="false">SUMIF($C$5:$AL$5,AO$5,$C13:$AL13)</f>
        <v>238975.302857143</v>
      </c>
    </row>
    <row r="14" customFormat="false" ht="15" hidden="false" customHeight="false" outlineLevel="0" collapsed="false">
      <c r="A14" s="7" t="s">
        <v>245</v>
      </c>
      <c r="B14" s="2"/>
      <c r="C14" s="28" t="n">
        <f aca="false">Assumptions!$C$58/12*C8</f>
        <v>10416.6666666667</v>
      </c>
      <c r="D14" s="28" t="n">
        <f aca="false">Assumptions!$C$58/12*D8</f>
        <v>10416.6666666667</v>
      </c>
      <c r="E14" s="28" t="n">
        <f aca="false">Assumptions!$C$58/12*E8</f>
        <v>10416.6666666667</v>
      </c>
      <c r="F14" s="28" t="n">
        <f aca="false">Assumptions!$C$58/12*F8</f>
        <v>10416.6666666667</v>
      </c>
      <c r="G14" s="28" t="n">
        <f aca="false">Assumptions!$C$58/12*G8</f>
        <v>10416.6666666667</v>
      </c>
      <c r="H14" s="28" t="n">
        <f aca="false">Assumptions!$C$58/12*H8</f>
        <v>10416.6666666667</v>
      </c>
      <c r="I14" s="28" t="n">
        <f aca="false">Assumptions!$C$58/12*I8</f>
        <v>10416.6666666667</v>
      </c>
      <c r="J14" s="28" t="n">
        <f aca="false">Assumptions!$C$58/12*J8</f>
        <v>10416.6666666667</v>
      </c>
      <c r="K14" s="28" t="n">
        <f aca="false">Assumptions!$C$58/12*K8</f>
        <v>10416.6666666667</v>
      </c>
      <c r="L14" s="28" t="n">
        <f aca="false">Assumptions!$C$58/12*L8</f>
        <v>10416.6666666667</v>
      </c>
      <c r="M14" s="28" t="n">
        <f aca="false">Assumptions!$C$58/12*M8</f>
        <v>10416.6666666667</v>
      </c>
      <c r="N14" s="28" t="n">
        <f aca="false">Assumptions!$C$58/12*N8</f>
        <v>10416.6666666667</v>
      </c>
      <c r="O14" s="28" t="n">
        <f aca="false">Assumptions!$C$58/12*O8</f>
        <v>10729.1666666667</v>
      </c>
      <c r="P14" s="28" t="n">
        <f aca="false">Assumptions!$C$58/12*P8</f>
        <v>10729.1666666667</v>
      </c>
      <c r="Q14" s="28" t="n">
        <f aca="false">Assumptions!$C$58/12*Q8</f>
        <v>10729.1666666667</v>
      </c>
      <c r="R14" s="28" t="n">
        <f aca="false">Assumptions!$C$58/12*R8</f>
        <v>10729.1666666667</v>
      </c>
      <c r="S14" s="28" t="n">
        <f aca="false">Assumptions!$C$58/12*S8</f>
        <v>10729.1666666667</v>
      </c>
      <c r="T14" s="28" t="n">
        <f aca="false">Assumptions!$C$58/12*T8</f>
        <v>10729.1666666667</v>
      </c>
      <c r="U14" s="28" t="n">
        <f aca="false">Assumptions!$C$58/12*U8</f>
        <v>10729.1666666667</v>
      </c>
      <c r="V14" s="28" t="n">
        <f aca="false">Assumptions!$C$58/12*V8</f>
        <v>10729.1666666667</v>
      </c>
      <c r="W14" s="28" t="n">
        <f aca="false">Assumptions!$C$58/12*W8</f>
        <v>10729.1666666667</v>
      </c>
      <c r="X14" s="28" t="n">
        <f aca="false">Assumptions!$C$58/12*X8</f>
        <v>10729.1666666667</v>
      </c>
      <c r="Y14" s="28" t="n">
        <f aca="false">Assumptions!$C$58/12*Y8</f>
        <v>10729.1666666667</v>
      </c>
      <c r="Z14" s="28" t="n">
        <f aca="false">Assumptions!$C$58/12*Z8</f>
        <v>10729.1666666667</v>
      </c>
      <c r="AA14" s="28" t="n">
        <f aca="false">Assumptions!$C$58/12*AA8</f>
        <v>11051.0416666667</v>
      </c>
      <c r="AB14" s="28" t="n">
        <f aca="false">Assumptions!$C$58/12*AB8</f>
        <v>11051.0416666667</v>
      </c>
      <c r="AC14" s="28" t="n">
        <f aca="false">Assumptions!$C$58/12*AC8</f>
        <v>11051.0416666667</v>
      </c>
      <c r="AD14" s="28" t="n">
        <f aca="false">Assumptions!$C$58/12*AD8</f>
        <v>11051.0416666667</v>
      </c>
      <c r="AE14" s="28" t="n">
        <f aca="false">Assumptions!$C$58/12*AE8</f>
        <v>11051.0416666667</v>
      </c>
      <c r="AF14" s="28" t="n">
        <f aca="false">Assumptions!$C$58/12*AF8</f>
        <v>11051.0416666667</v>
      </c>
      <c r="AG14" s="28" t="n">
        <f aca="false">Assumptions!$C$58/12*AG8</f>
        <v>11051.0416666667</v>
      </c>
      <c r="AH14" s="28" t="n">
        <f aca="false">Assumptions!$C$58/12*AH8</f>
        <v>11051.0416666667</v>
      </c>
      <c r="AI14" s="28" t="n">
        <f aca="false">Assumptions!$C$58/12*AI8</f>
        <v>11051.0416666667</v>
      </c>
      <c r="AJ14" s="28" t="n">
        <f aca="false">Assumptions!$C$58/12*AJ8</f>
        <v>11051.0416666667</v>
      </c>
      <c r="AK14" s="28" t="n">
        <f aca="false">Assumptions!$C$58/12*AK8</f>
        <v>11051.0416666667</v>
      </c>
      <c r="AL14" s="28" t="n">
        <f aca="false">Assumptions!$C$58/12*AL8</f>
        <v>11051.0416666667</v>
      </c>
      <c r="AM14" s="44" t="n">
        <f aca="false">SUMIF($C$5:$AL$5,AM$5,$C14:$AL14)</f>
        <v>125000</v>
      </c>
      <c r="AN14" s="44" t="n">
        <f aca="false">SUMIF($C$5:$AL$5,AN$5,$C14:$AL14)</f>
        <v>128750</v>
      </c>
      <c r="AO14" s="44" t="n">
        <f aca="false">SUMIF($C$5:$AL$5,AO$5,$C14:$AL14)</f>
        <v>132612.5</v>
      </c>
    </row>
    <row r="15" customFormat="false" ht="15" hidden="false" customHeight="false" outlineLevel="0" collapsed="false">
      <c r="A15" s="40" t="s">
        <v>246</v>
      </c>
      <c r="B15" s="41"/>
      <c r="C15" s="45" t="n">
        <f aca="false">C11+C13+C14</f>
        <v>41026.9523809524</v>
      </c>
      <c r="D15" s="45" t="n">
        <f aca="false">D11+D13+D14</f>
        <v>38064.6666666667</v>
      </c>
      <c r="E15" s="45" t="n">
        <f aca="false">E11+E13+E14</f>
        <v>41026.9523809524</v>
      </c>
      <c r="F15" s="45" t="n">
        <f aca="false">F11+F13+F14</f>
        <v>40039.5238095238</v>
      </c>
      <c r="G15" s="45" t="n">
        <f aca="false">G11+G13+G14</f>
        <v>41026.9523809524</v>
      </c>
      <c r="H15" s="45" t="n">
        <f aca="false">H11+H13+H14</f>
        <v>40039.5238095238</v>
      </c>
      <c r="I15" s="45" t="n">
        <f aca="false">I11+I13+I14</f>
        <v>41026.9523809524</v>
      </c>
      <c r="J15" s="45" t="n">
        <f aca="false">J11+J13+J14</f>
        <v>41026.9523809524</v>
      </c>
      <c r="K15" s="45" t="n">
        <f aca="false">K11+K13+K14</f>
        <v>40039.5238095238</v>
      </c>
      <c r="L15" s="45" t="n">
        <f aca="false">L11+L13+L14</f>
        <v>41026.9523809524</v>
      </c>
      <c r="M15" s="45" t="n">
        <f aca="false">M11+M13+M14</f>
        <v>40039.5238095238</v>
      </c>
      <c r="N15" s="45" t="n">
        <f aca="false">N11+N13+N14</f>
        <v>41026.9523809524</v>
      </c>
      <c r="O15" s="45" t="n">
        <f aca="false">O11+O13+O14</f>
        <v>42257.760952381</v>
      </c>
      <c r="P15" s="45" t="n">
        <f aca="false">P11+P13+P14</f>
        <v>40223.6580952381</v>
      </c>
      <c r="Q15" s="45" t="n">
        <f aca="false">Q11+Q13+Q14</f>
        <v>42257.760952381</v>
      </c>
      <c r="R15" s="45" t="n">
        <f aca="false">R11+R13+R14</f>
        <v>41240.7095238095</v>
      </c>
      <c r="S15" s="45" t="n">
        <f aca="false">S11+S13+S14</f>
        <v>42257.760952381</v>
      </c>
      <c r="T15" s="45" t="n">
        <f aca="false">T11+T13+T14</f>
        <v>41240.7095238095</v>
      </c>
      <c r="U15" s="45" t="n">
        <f aca="false">U11+U13+U14</f>
        <v>42257.760952381</v>
      </c>
      <c r="V15" s="45" t="n">
        <f aca="false">V11+V13+V14</f>
        <v>42257.760952381</v>
      </c>
      <c r="W15" s="45" t="n">
        <f aca="false">W11+W13+W14</f>
        <v>41240.7095238095</v>
      </c>
      <c r="X15" s="45" t="n">
        <f aca="false">X11+X13+X14</f>
        <v>42257.760952381</v>
      </c>
      <c r="Y15" s="45" t="n">
        <f aca="false">Y11+Y13+Y14</f>
        <v>41240.7095238095</v>
      </c>
      <c r="Z15" s="45" t="n">
        <f aca="false">Z11+Z13+Z14</f>
        <v>42257.760952381</v>
      </c>
      <c r="AA15" s="45" t="n">
        <f aca="false">AA11+AA13+AA14</f>
        <v>43525.4937809524</v>
      </c>
      <c r="AB15" s="45" t="n">
        <f aca="false">AB11+AB13+AB14</f>
        <v>40382.8048666667</v>
      </c>
      <c r="AC15" s="45" t="n">
        <f aca="false">AC11+AC13+AC14</f>
        <v>43525.4937809524</v>
      </c>
      <c r="AD15" s="45" t="n">
        <f aca="false">AD11+AD13+AD14</f>
        <v>42477.9308095238</v>
      </c>
      <c r="AE15" s="45" t="n">
        <f aca="false">AE11+AE13+AE14</f>
        <v>43525.4937809524</v>
      </c>
      <c r="AF15" s="45" t="n">
        <f aca="false">AF11+AF13+AF14</f>
        <v>42477.9308095238</v>
      </c>
      <c r="AG15" s="45" t="n">
        <f aca="false">AG11+AG13+AG14</f>
        <v>43525.4937809524</v>
      </c>
      <c r="AH15" s="45" t="n">
        <f aca="false">AH11+AH13+AH14</f>
        <v>43525.4937809524</v>
      </c>
      <c r="AI15" s="45" t="n">
        <f aca="false">AI11+AI13+AI14</f>
        <v>42477.9308095238</v>
      </c>
      <c r="AJ15" s="45" t="n">
        <f aca="false">AJ11+AJ13+AJ14</f>
        <v>43525.4937809524</v>
      </c>
      <c r="AK15" s="45" t="n">
        <f aca="false">AK11+AK13+AK14</f>
        <v>42477.9308095238</v>
      </c>
      <c r="AL15" s="45" t="n">
        <f aca="false">AL11+AL13+AL14</f>
        <v>43525.4937809524</v>
      </c>
      <c r="AM15" s="46" t="n">
        <f aca="false">SUMIF($C$5:$AL$5,AM$5,$C15:$AL15)</f>
        <v>485411.428571429</v>
      </c>
      <c r="AN15" s="46" t="n">
        <f aca="false">SUMIF($C$5:$AL$5,AN$5,$C15:$AL15)</f>
        <v>500990.822857143</v>
      </c>
      <c r="AO15" s="46" t="n">
        <f aca="false">SUMIF($C$5:$AL$5,AO$5,$C15:$AL15)</f>
        <v>514972.984571429</v>
      </c>
    </row>
    <row r="16" customFormat="false" ht="15" hidden="false" customHeight="false" outlineLevel="0" collapsed="false">
      <c r="A16" s="7" t="s">
        <v>247</v>
      </c>
      <c r="B16" s="2"/>
      <c r="C16" s="28" t="n">
        <f aca="false">C15*Assumptions!$C$60</f>
        <v>3138.56185714286</v>
      </c>
      <c r="D16" s="28" t="n">
        <f aca="false">D15*Assumptions!$C$60</f>
        <v>2911.947</v>
      </c>
      <c r="E16" s="28" t="n">
        <f aca="false">E15*Assumptions!$C$60</f>
        <v>3138.56185714286</v>
      </c>
      <c r="F16" s="28" t="n">
        <f aca="false">F15*Assumptions!$C$60</f>
        <v>3063.02357142857</v>
      </c>
      <c r="G16" s="28" t="n">
        <f aca="false">G15*Assumptions!$C$60</f>
        <v>3138.56185714286</v>
      </c>
      <c r="H16" s="28" t="n">
        <f aca="false">H15*Assumptions!$C$60</f>
        <v>3063.02357142857</v>
      </c>
      <c r="I16" s="28" t="n">
        <f aca="false">I15*Assumptions!$C$60</f>
        <v>3138.56185714286</v>
      </c>
      <c r="J16" s="28" t="n">
        <f aca="false">J15*Assumptions!$C$60</f>
        <v>3138.56185714286</v>
      </c>
      <c r="K16" s="28" t="n">
        <f aca="false">K15*Assumptions!$C$60</f>
        <v>3063.02357142857</v>
      </c>
      <c r="L16" s="28" t="n">
        <f aca="false">L15*Assumptions!$C$60</f>
        <v>3138.56185714286</v>
      </c>
      <c r="M16" s="28" t="n">
        <f aca="false">M15*Assumptions!$C$60</f>
        <v>3063.02357142857</v>
      </c>
      <c r="N16" s="28" t="n">
        <f aca="false">N15*Assumptions!$C$60</f>
        <v>3138.56185714286</v>
      </c>
      <c r="O16" s="28" t="n">
        <f aca="false">O15*Assumptions!$C$60</f>
        <v>3232.71871285714</v>
      </c>
      <c r="P16" s="28" t="n">
        <f aca="false">P15*Assumptions!$C$60</f>
        <v>3077.10984428571</v>
      </c>
      <c r="Q16" s="28" t="n">
        <f aca="false">Q15*Assumptions!$C$60</f>
        <v>3232.71871285714</v>
      </c>
      <c r="R16" s="28" t="n">
        <f aca="false">R15*Assumptions!$C$60</f>
        <v>3154.91427857143</v>
      </c>
      <c r="S16" s="28" t="n">
        <f aca="false">S15*Assumptions!$C$60</f>
        <v>3232.71871285714</v>
      </c>
      <c r="T16" s="28" t="n">
        <f aca="false">T15*Assumptions!$C$60</f>
        <v>3154.91427857143</v>
      </c>
      <c r="U16" s="28" t="n">
        <f aca="false">U15*Assumptions!$C$60</f>
        <v>3232.71871285714</v>
      </c>
      <c r="V16" s="28" t="n">
        <f aca="false">V15*Assumptions!$C$60</f>
        <v>3232.71871285714</v>
      </c>
      <c r="W16" s="28" t="n">
        <f aca="false">W15*Assumptions!$C$60</f>
        <v>3154.91427857143</v>
      </c>
      <c r="X16" s="28" t="n">
        <f aca="false">X15*Assumptions!$C$60</f>
        <v>3232.71871285714</v>
      </c>
      <c r="Y16" s="28" t="n">
        <f aca="false">Y15*Assumptions!$C$60</f>
        <v>3154.91427857143</v>
      </c>
      <c r="Z16" s="28" t="n">
        <f aca="false">Z15*Assumptions!$C$60</f>
        <v>3232.71871285714</v>
      </c>
      <c r="AA16" s="28" t="n">
        <f aca="false">AA15*Assumptions!$C$60</f>
        <v>3329.70027424286</v>
      </c>
      <c r="AB16" s="28" t="n">
        <f aca="false">AB15*Assumptions!$C$60</f>
        <v>3089.2845723</v>
      </c>
      <c r="AC16" s="28" t="n">
        <f aca="false">AC15*Assumptions!$C$60</f>
        <v>3329.70027424286</v>
      </c>
      <c r="AD16" s="28" t="n">
        <f aca="false">AD15*Assumptions!$C$60</f>
        <v>3249.56170692857</v>
      </c>
      <c r="AE16" s="28" t="n">
        <f aca="false">AE15*Assumptions!$C$60</f>
        <v>3329.70027424286</v>
      </c>
      <c r="AF16" s="28" t="n">
        <f aca="false">AF15*Assumptions!$C$60</f>
        <v>3249.56170692857</v>
      </c>
      <c r="AG16" s="28" t="n">
        <f aca="false">AG15*Assumptions!$C$60</f>
        <v>3329.70027424286</v>
      </c>
      <c r="AH16" s="28" t="n">
        <f aca="false">AH15*Assumptions!$C$60</f>
        <v>3329.70027424286</v>
      </c>
      <c r="AI16" s="28" t="n">
        <f aca="false">AI15*Assumptions!$C$60</f>
        <v>3249.56170692857</v>
      </c>
      <c r="AJ16" s="28" t="n">
        <f aca="false">AJ15*Assumptions!$C$60</f>
        <v>3329.70027424286</v>
      </c>
      <c r="AK16" s="28" t="n">
        <f aca="false">AK15*Assumptions!$C$60</f>
        <v>3249.56170692857</v>
      </c>
      <c r="AL16" s="28" t="n">
        <f aca="false">AL15*Assumptions!$C$60</f>
        <v>3329.70027424286</v>
      </c>
      <c r="AM16" s="44" t="n">
        <f aca="false">SUMIF($C$5:$AL$5,AM$5,$C16:$AL16)</f>
        <v>37133.9742857143</v>
      </c>
      <c r="AN16" s="44" t="n">
        <f aca="false">SUMIF($C$5:$AL$5,AN$5,$C16:$AL16)</f>
        <v>38325.7979485714</v>
      </c>
      <c r="AO16" s="44" t="n">
        <f aca="false">SUMIF($C$5:$AL$5,AO$5,$C16:$AL16)</f>
        <v>39395.4333197143</v>
      </c>
    </row>
    <row r="17" customFormat="false" ht="15" hidden="false" customHeight="false" outlineLevel="0" collapsed="false">
      <c r="A17" s="7" t="s">
        <v>248</v>
      </c>
      <c r="B17" s="2"/>
      <c r="C17" s="28" t="n">
        <f aca="false">C15*Assumptions!$C$61</f>
        <v>3282.15619047619</v>
      </c>
      <c r="D17" s="28" t="n">
        <f aca="false">D15*Assumptions!$C$61</f>
        <v>3045.17333333333</v>
      </c>
      <c r="E17" s="28" t="n">
        <f aca="false">E15*Assumptions!$C$61</f>
        <v>3282.15619047619</v>
      </c>
      <c r="F17" s="28" t="n">
        <f aca="false">F15*Assumptions!$C$61</f>
        <v>3203.1619047619</v>
      </c>
      <c r="G17" s="28" t="n">
        <f aca="false">G15*Assumptions!$C$61</f>
        <v>3282.15619047619</v>
      </c>
      <c r="H17" s="28" t="n">
        <f aca="false">H15*Assumptions!$C$61</f>
        <v>3203.1619047619</v>
      </c>
      <c r="I17" s="28" t="n">
        <f aca="false">I15*Assumptions!$C$61</f>
        <v>3282.15619047619</v>
      </c>
      <c r="J17" s="28" t="n">
        <f aca="false">J15*Assumptions!$C$61</f>
        <v>3282.15619047619</v>
      </c>
      <c r="K17" s="28" t="n">
        <f aca="false">K15*Assumptions!$C$61</f>
        <v>3203.1619047619</v>
      </c>
      <c r="L17" s="28" t="n">
        <f aca="false">L15*Assumptions!$C$61</f>
        <v>3282.15619047619</v>
      </c>
      <c r="M17" s="28" t="n">
        <f aca="false">M15*Assumptions!$C$61</f>
        <v>3203.1619047619</v>
      </c>
      <c r="N17" s="28" t="n">
        <f aca="false">N15*Assumptions!$C$61</f>
        <v>3282.15619047619</v>
      </c>
      <c r="O17" s="28" t="n">
        <f aca="false">O15*Assumptions!$C$61</f>
        <v>3380.62087619048</v>
      </c>
      <c r="P17" s="28" t="n">
        <f aca="false">P15*Assumptions!$C$61</f>
        <v>3217.89264761905</v>
      </c>
      <c r="Q17" s="28" t="n">
        <f aca="false">Q15*Assumptions!$C$61</f>
        <v>3380.62087619048</v>
      </c>
      <c r="R17" s="28" t="n">
        <f aca="false">R15*Assumptions!$C$61</f>
        <v>3299.25676190476</v>
      </c>
      <c r="S17" s="28" t="n">
        <f aca="false">S15*Assumptions!$C$61</f>
        <v>3380.62087619048</v>
      </c>
      <c r="T17" s="28" t="n">
        <f aca="false">T15*Assumptions!$C$61</f>
        <v>3299.25676190476</v>
      </c>
      <c r="U17" s="28" t="n">
        <f aca="false">U15*Assumptions!$C$61</f>
        <v>3380.62087619048</v>
      </c>
      <c r="V17" s="28" t="n">
        <f aca="false">V15*Assumptions!$C$61</f>
        <v>3380.62087619048</v>
      </c>
      <c r="W17" s="28" t="n">
        <f aca="false">W15*Assumptions!$C$61</f>
        <v>3299.25676190476</v>
      </c>
      <c r="X17" s="28" t="n">
        <f aca="false">X15*Assumptions!$C$61</f>
        <v>3380.62087619048</v>
      </c>
      <c r="Y17" s="28" t="n">
        <f aca="false">Y15*Assumptions!$C$61</f>
        <v>3299.25676190476</v>
      </c>
      <c r="Z17" s="28" t="n">
        <f aca="false">Z15*Assumptions!$C$61</f>
        <v>3380.62087619048</v>
      </c>
      <c r="AA17" s="28" t="n">
        <f aca="false">AA15*Assumptions!$C$61</f>
        <v>3482.03950247619</v>
      </c>
      <c r="AB17" s="28" t="n">
        <f aca="false">AB15*Assumptions!$C$61</f>
        <v>3230.62438933333</v>
      </c>
      <c r="AC17" s="28" t="n">
        <f aca="false">AC15*Assumptions!$C$61</f>
        <v>3482.03950247619</v>
      </c>
      <c r="AD17" s="28" t="n">
        <f aca="false">AD15*Assumptions!$C$61</f>
        <v>3398.2344647619</v>
      </c>
      <c r="AE17" s="28" t="n">
        <f aca="false">AE15*Assumptions!$C$61</f>
        <v>3482.03950247619</v>
      </c>
      <c r="AF17" s="28" t="n">
        <f aca="false">AF15*Assumptions!$C$61</f>
        <v>3398.2344647619</v>
      </c>
      <c r="AG17" s="28" t="n">
        <f aca="false">AG15*Assumptions!$C$61</f>
        <v>3482.03950247619</v>
      </c>
      <c r="AH17" s="28" t="n">
        <f aca="false">AH15*Assumptions!$C$61</f>
        <v>3482.03950247619</v>
      </c>
      <c r="AI17" s="28" t="n">
        <f aca="false">AI15*Assumptions!$C$61</f>
        <v>3398.2344647619</v>
      </c>
      <c r="AJ17" s="28" t="n">
        <f aca="false">AJ15*Assumptions!$C$61</f>
        <v>3482.03950247619</v>
      </c>
      <c r="AK17" s="28" t="n">
        <f aca="false">AK15*Assumptions!$C$61</f>
        <v>3398.2344647619</v>
      </c>
      <c r="AL17" s="28" t="n">
        <f aca="false">AL15*Assumptions!$C$61</f>
        <v>3482.03950247619</v>
      </c>
      <c r="AM17" s="44" t="n">
        <f aca="false">SUMIF($C$5:$AL$5,AM$5,$C17:$AL17)</f>
        <v>38832.9142857143</v>
      </c>
      <c r="AN17" s="44" t="n">
        <f aca="false">SUMIF($C$5:$AL$5,AN$5,$C17:$AL17)</f>
        <v>40079.2658285714</v>
      </c>
      <c r="AO17" s="44" t="n">
        <f aca="false">SUMIF($C$5:$AL$5,AO$5,$C17:$AL17)</f>
        <v>41197.8387657143</v>
      </c>
    </row>
    <row r="18" customFormat="false" ht="15" hidden="false" customHeight="false" outlineLevel="0" collapsed="false">
      <c r="A18" s="40" t="s">
        <v>249</v>
      </c>
      <c r="B18" s="41"/>
      <c r="C18" s="45" t="n">
        <f aca="false">C15+C16+C17</f>
        <v>47447.6704285714</v>
      </c>
      <c r="D18" s="45" t="n">
        <f aca="false">D15+D16+D17</f>
        <v>44021.787</v>
      </c>
      <c r="E18" s="45" t="n">
        <f aca="false">E15+E16+E17</f>
        <v>47447.6704285714</v>
      </c>
      <c r="F18" s="45" t="n">
        <f aca="false">F15+F16+F17</f>
        <v>46305.7092857143</v>
      </c>
      <c r="G18" s="45" t="n">
        <f aca="false">G15+G16+G17</f>
        <v>47447.6704285714</v>
      </c>
      <c r="H18" s="45" t="n">
        <f aca="false">H15+H16+H17</f>
        <v>46305.7092857143</v>
      </c>
      <c r="I18" s="45" t="n">
        <f aca="false">I15+I16+I17</f>
        <v>47447.6704285714</v>
      </c>
      <c r="J18" s="45" t="n">
        <f aca="false">J15+J16+J17</f>
        <v>47447.6704285714</v>
      </c>
      <c r="K18" s="45" t="n">
        <f aca="false">K15+K16+K17</f>
        <v>46305.7092857143</v>
      </c>
      <c r="L18" s="45" t="n">
        <f aca="false">L15+L16+L17</f>
        <v>47447.6704285714</v>
      </c>
      <c r="M18" s="45" t="n">
        <f aca="false">M15+M16+M17</f>
        <v>46305.7092857143</v>
      </c>
      <c r="N18" s="45" t="n">
        <f aca="false">N15+N16+N17</f>
        <v>47447.6704285714</v>
      </c>
      <c r="O18" s="45" t="n">
        <f aca="false">O15+O16+O17</f>
        <v>48871.1005414286</v>
      </c>
      <c r="P18" s="45" t="n">
        <f aca="false">P15+P16+P17</f>
        <v>46518.6605871429</v>
      </c>
      <c r="Q18" s="45" t="n">
        <f aca="false">Q15+Q16+Q17</f>
        <v>48871.1005414286</v>
      </c>
      <c r="R18" s="45" t="n">
        <f aca="false">R15+R16+R17</f>
        <v>47694.8805642857</v>
      </c>
      <c r="S18" s="45" t="n">
        <f aca="false">S15+S16+S17</f>
        <v>48871.1005414286</v>
      </c>
      <c r="T18" s="45" t="n">
        <f aca="false">T15+T16+T17</f>
        <v>47694.8805642857</v>
      </c>
      <c r="U18" s="45" t="n">
        <f aca="false">U15+U16+U17</f>
        <v>48871.1005414286</v>
      </c>
      <c r="V18" s="45" t="n">
        <f aca="false">V15+V16+V17</f>
        <v>48871.1005414286</v>
      </c>
      <c r="W18" s="45" t="n">
        <f aca="false">W15+W16+W17</f>
        <v>47694.8805642857</v>
      </c>
      <c r="X18" s="45" t="n">
        <f aca="false">X15+X16+X17</f>
        <v>48871.1005414286</v>
      </c>
      <c r="Y18" s="45" t="n">
        <f aca="false">Y15+Y16+Y17</f>
        <v>47694.8805642857</v>
      </c>
      <c r="Z18" s="45" t="n">
        <f aca="false">Z15+Z16+Z17</f>
        <v>48871.1005414286</v>
      </c>
      <c r="AA18" s="45" t="n">
        <f aca="false">AA15+AA16+AA17</f>
        <v>50337.2335576714</v>
      </c>
      <c r="AB18" s="45" t="n">
        <f aca="false">AB15+AB16+AB17</f>
        <v>46702.7138283</v>
      </c>
      <c r="AC18" s="45" t="n">
        <f aca="false">AC15+AC16+AC17</f>
        <v>50337.2335576714</v>
      </c>
      <c r="AD18" s="45" t="n">
        <f aca="false">AD15+AD16+AD17</f>
        <v>49125.7269812143</v>
      </c>
      <c r="AE18" s="45" t="n">
        <f aca="false">AE15+AE16+AE17</f>
        <v>50337.2335576714</v>
      </c>
      <c r="AF18" s="45" t="n">
        <f aca="false">AF15+AF16+AF17</f>
        <v>49125.7269812143</v>
      </c>
      <c r="AG18" s="45" t="n">
        <f aca="false">AG15+AG16+AG17</f>
        <v>50337.2335576714</v>
      </c>
      <c r="AH18" s="45" t="n">
        <f aca="false">AH15+AH16+AH17</f>
        <v>50337.2335576714</v>
      </c>
      <c r="AI18" s="45" t="n">
        <f aca="false">AI15+AI16+AI17</f>
        <v>49125.7269812143</v>
      </c>
      <c r="AJ18" s="45" t="n">
        <f aca="false">AJ15+AJ16+AJ17</f>
        <v>50337.2335576714</v>
      </c>
      <c r="AK18" s="45" t="n">
        <f aca="false">AK15+AK16+AK17</f>
        <v>49125.7269812143</v>
      </c>
      <c r="AL18" s="45" t="n">
        <f aca="false">AL15+AL16+AL17</f>
        <v>50337.2335576714</v>
      </c>
      <c r="AM18" s="46" t="n">
        <f aca="false">SUMIF($C$5:$AL$5,AM$5,$C18:$AL18)</f>
        <v>561378.317142857</v>
      </c>
      <c r="AN18" s="46" t="n">
        <f aca="false">SUMIF($C$5:$AL$5,AN$5,$C18:$AL18)</f>
        <v>579395.886634286</v>
      </c>
      <c r="AO18" s="46" t="n">
        <f aca="false">SUMIF($C$5:$AL$5,AO$5,$C18:$AL18)</f>
        <v>595566.256656857</v>
      </c>
    </row>
    <row r="19" customFormat="false" ht="15" hidden="false" customHeight="false" outlineLevel="0" collapsed="false">
      <c r="A19" s="7" t="s">
        <v>250</v>
      </c>
      <c r="B19" s="2"/>
      <c r="C19" s="22" t="n">
        <f aca="false">IF(Revenue!C27=0,0,C18/Revenue!C27)</f>
        <v>0.649826885131352</v>
      </c>
      <c r="D19" s="22" t="n">
        <f aca="false">IF(Revenue!D27=0,0,D18/Revenue!D27)</f>
        <v>0.565927615772211</v>
      </c>
      <c r="E19" s="22" t="n">
        <f aca="false">IF(Revenue!E27=0,0,E18/Revenue!E27)</f>
        <v>0.447233797413931</v>
      </c>
      <c r="F19" s="22" t="n">
        <f aca="false">IF(Revenue!F27=0,0,F18/Revenue!F27)</f>
        <v>0.425962255067077</v>
      </c>
      <c r="G19" s="22" t="n">
        <f aca="false">IF(Revenue!G27=0,0,G18/Revenue!G27)</f>
        <v>0.381101481505605</v>
      </c>
      <c r="H19" s="22" t="n">
        <f aca="false">IF(Revenue!H27=0,0,H18/Revenue!H27)</f>
        <v>0.365110504343209</v>
      </c>
      <c r="I19" s="22" t="n">
        <f aca="false">IF(Revenue!I27=0,0,I18/Revenue!I27)</f>
        <v>0.362046407430325</v>
      </c>
      <c r="J19" s="22" t="n">
        <f aca="false">IF(Revenue!J27=0,0,J18/Revenue!J27)</f>
        <v>0.369076434759069</v>
      </c>
      <c r="K19" s="22" t="n">
        <f aca="false">IF(Revenue!K27=0,0,K18/Revenue!K27)</f>
        <v>0.38336602956037</v>
      </c>
      <c r="L19" s="22" t="n">
        <f aca="false">IF(Revenue!L27=0,0,L18/Revenue!L27)</f>
        <v>0.380148727801841</v>
      </c>
      <c r="M19" s="22" t="n">
        <f aca="false">IF(Revenue!M27=0,0,M18/Revenue!M27)</f>
        <v>0.39118982608201</v>
      </c>
      <c r="N19" s="22" t="n">
        <f aca="false">IF(Revenue!N27=0,0,N18/Revenue!N27)</f>
        <v>0.372694831178276</v>
      </c>
      <c r="O19" s="22" t="n">
        <f aca="false">IF(Revenue!O27=0,0,O18/Revenue!O27)</f>
        <v>0.410084927510077</v>
      </c>
      <c r="P19" s="22" t="n">
        <f aca="false">IF(Revenue!P27=0,0,P18/Revenue!P27)</f>
        <v>0.408194611860275</v>
      </c>
      <c r="Q19" s="22" t="n">
        <f aca="false">IF(Revenue!Q27=0,0,Q18/Revenue!Q27)</f>
        <v>0.369076434759069</v>
      </c>
      <c r="R19" s="22" t="n">
        <f aca="false">IF(Revenue!R27=0,0,R18/Revenue!R27)</f>
        <v>0.372200028699388</v>
      </c>
      <c r="S19" s="22" t="n">
        <f aca="false">IF(Revenue!S27=0,0,S18/Revenue!S27)</f>
        <v>0.351501366437209</v>
      </c>
      <c r="T19" s="22" t="n">
        <f aca="false">IF(Revenue!T27=0,0,T18/Revenue!T27)</f>
        <v>0.354476217808941</v>
      </c>
      <c r="U19" s="22" t="n">
        <f aca="false">IF(Revenue!U27=0,0,U18/Revenue!U27)</f>
        <v>0.351501366437209</v>
      </c>
      <c r="V19" s="22" t="n">
        <f aca="false">IF(Revenue!V27=0,0,V18/Revenue!V27)</f>
        <v>0.358326635688417</v>
      </c>
      <c r="W19" s="22" t="n">
        <f aca="false">IF(Revenue!W27=0,0,W18/Revenue!W27)</f>
        <v>0.372200028699388</v>
      </c>
      <c r="X19" s="22" t="n">
        <f aca="false">IF(Revenue!X27=0,0,X18/Revenue!X27)</f>
        <v>0.369076434759069</v>
      </c>
      <c r="Y19" s="22" t="n">
        <f aca="false">IF(Revenue!Y27=0,0,Y18/Revenue!Y27)</f>
        <v>0.379795947652437</v>
      </c>
      <c r="Z19" s="22" t="n">
        <f aca="false">IF(Revenue!Z27=0,0,Z18/Revenue!Z27)</f>
        <v>0.361839641920656</v>
      </c>
      <c r="AA19" s="22" t="n">
        <f aca="false">IF(Revenue!AA27=0,0,AA18/Revenue!AA27)</f>
        <v>0.402044046578507</v>
      </c>
      <c r="AB19" s="22" t="n">
        <f aca="false">IF(Revenue!AB27=0,0,AB18/Revenue!AB27)</f>
        <v>0.404003152321681</v>
      </c>
      <c r="AC19" s="22" t="n">
        <f aca="false">IF(Revenue!AC27=0,0,AC18/Revenue!AC27)</f>
        <v>0.361839641920656</v>
      </c>
      <c r="AD19" s="22" t="n">
        <f aca="false">IF(Revenue!AD27=0,0,AD18/Revenue!AD27)</f>
        <v>0.364901988920969</v>
      </c>
      <c r="AE19" s="22" t="n">
        <f aca="false">IF(Revenue!AE27=0,0,AE18/Revenue!AE27)</f>
        <v>0.344609182781577</v>
      </c>
      <c r="AF19" s="22" t="n">
        <f aca="false">IF(Revenue!AF27=0,0,AF18/Revenue!AF27)</f>
        <v>0.347525703734256</v>
      </c>
      <c r="AG19" s="22" t="n">
        <f aca="false">IF(Revenue!AG27=0,0,AG18/Revenue!AG27)</f>
        <v>0.344609182781577</v>
      </c>
      <c r="AH19" s="22" t="n">
        <f aca="false">IF(Revenue!AH27=0,0,AH18/Revenue!AH27)</f>
        <v>0.351300623223938</v>
      </c>
      <c r="AI19" s="22" t="n">
        <f aca="false">IF(Revenue!AI27=0,0,AI18/Revenue!AI27)</f>
        <v>0.364901988920969</v>
      </c>
      <c r="AJ19" s="22" t="n">
        <f aca="false">IF(Revenue!AJ27=0,0,AJ18/Revenue!AJ27)</f>
        <v>0.361839641920656</v>
      </c>
      <c r="AK19" s="22" t="n">
        <f aca="false">IF(Revenue!AK27=0,0,AK18/Revenue!AK27)</f>
        <v>0.372348968286703</v>
      </c>
      <c r="AL19" s="22" t="n">
        <f aca="false">IF(Revenue!AL27=0,0,AL18/Revenue!AL27)</f>
        <v>0.354744746981035</v>
      </c>
      <c r="AM19" s="49" t="n">
        <f aca="false">IF(Revenue!AM27=0,0,AM18/Revenue!AM27)</f>
        <v>0.410416934210398</v>
      </c>
      <c r="AN19" s="49" t="n">
        <f aca="false">IF(Revenue!AN27=0,0,AN18/Revenue!AN27)</f>
        <v>0.37048103687509</v>
      </c>
      <c r="AO19" s="49" t="n">
        <f aca="false">IF(Revenue!AO27=0,0,AO18/Revenue!AO27)</f>
        <v>0.363392465077914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4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O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8" min="3" style="0" width="11"/>
    <col collapsed="false" customWidth="true" hidden="false" outlineLevel="0" max="41" min="39" style="0" width="13"/>
  </cols>
  <sheetData>
    <row r="1" customFormat="false" ht="17.35" hidden="false" customHeight="false" outlineLevel="0" collapsed="false">
      <c r="A1" s="1" t="s">
        <v>251</v>
      </c>
    </row>
    <row r="2" customFormat="false" ht="15" hidden="false" customHeight="false" outlineLevel="0" collapsed="false">
      <c r="A2" s="2" t="s">
        <v>252</v>
      </c>
    </row>
    <row r="4" customFormat="false" ht="15" hidden="false" customHeight="false" outlineLevel="0" collapsed="false">
      <c r="A4" s="3" t="s">
        <v>202</v>
      </c>
      <c r="C4" s="29" t="n">
        <v>1</v>
      </c>
      <c r="D4" s="29" t="n">
        <v>2</v>
      </c>
      <c r="E4" s="29" t="n">
        <v>3</v>
      </c>
      <c r="F4" s="29" t="n">
        <v>4</v>
      </c>
      <c r="G4" s="29" t="n">
        <v>5</v>
      </c>
      <c r="H4" s="29" t="n">
        <v>6</v>
      </c>
      <c r="I4" s="29" t="n">
        <v>7</v>
      </c>
      <c r="J4" s="29" t="n">
        <v>8</v>
      </c>
      <c r="K4" s="29" t="n">
        <v>9</v>
      </c>
      <c r="L4" s="29" t="n">
        <v>10</v>
      </c>
      <c r="M4" s="29" t="n">
        <v>11</v>
      </c>
      <c r="N4" s="29" t="n">
        <v>12</v>
      </c>
      <c r="O4" s="29" t="n">
        <v>13</v>
      </c>
      <c r="P4" s="29" t="n">
        <v>14</v>
      </c>
      <c r="Q4" s="29" t="n">
        <v>15</v>
      </c>
      <c r="R4" s="29" t="n">
        <v>16</v>
      </c>
      <c r="S4" s="29" t="n">
        <v>17</v>
      </c>
      <c r="T4" s="29" t="n">
        <v>18</v>
      </c>
      <c r="U4" s="29" t="n">
        <v>19</v>
      </c>
      <c r="V4" s="29" t="n">
        <v>20</v>
      </c>
      <c r="W4" s="29" t="n">
        <v>21</v>
      </c>
      <c r="X4" s="29" t="n">
        <v>22</v>
      </c>
      <c r="Y4" s="29" t="n">
        <v>23</v>
      </c>
      <c r="Z4" s="29" t="n">
        <v>24</v>
      </c>
      <c r="AA4" s="29" t="n">
        <v>25</v>
      </c>
      <c r="AB4" s="29" t="n">
        <v>26</v>
      </c>
      <c r="AC4" s="29" t="n">
        <v>27</v>
      </c>
      <c r="AD4" s="29" t="n">
        <v>28</v>
      </c>
      <c r="AE4" s="29" t="n">
        <v>29</v>
      </c>
      <c r="AF4" s="29" t="n">
        <v>30</v>
      </c>
      <c r="AG4" s="29" t="n">
        <v>31</v>
      </c>
      <c r="AH4" s="29" t="n">
        <v>32</v>
      </c>
      <c r="AI4" s="29" t="n">
        <v>33</v>
      </c>
      <c r="AJ4" s="29" t="n">
        <v>34</v>
      </c>
      <c r="AK4" s="29" t="n">
        <v>35</v>
      </c>
      <c r="AL4" s="29" t="n">
        <v>36</v>
      </c>
      <c r="AM4" s="30" t="s">
        <v>203</v>
      </c>
      <c r="AN4" s="30" t="s">
        <v>203</v>
      </c>
      <c r="AO4" s="30" t="s">
        <v>203</v>
      </c>
    </row>
    <row r="5" customFormat="false" ht="15" hidden="false" customHeight="false" outlineLevel="0" collapsed="false">
      <c r="A5" s="3" t="s">
        <v>204</v>
      </c>
      <c r="C5" s="31" t="n">
        <f aca="false">INT((C4-1)/12)+1</f>
        <v>1</v>
      </c>
      <c r="D5" s="31" t="n">
        <f aca="false">INT((D4-1)/12)+1</f>
        <v>1</v>
      </c>
      <c r="E5" s="31" t="n">
        <f aca="false">INT((E4-1)/12)+1</f>
        <v>1</v>
      </c>
      <c r="F5" s="31" t="n">
        <f aca="false">INT((F4-1)/12)+1</f>
        <v>1</v>
      </c>
      <c r="G5" s="31" t="n">
        <f aca="false">INT((G4-1)/12)+1</f>
        <v>1</v>
      </c>
      <c r="H5" s="31" t="n">
        <f aca="false">INT((H4-1)/12)+1</f>
        <v>1</v>
      </c>
      <c r="I5" s="31" t="n">
        <f aca="false">INT((I4-1)/12)+1</f>
        <v>1</v>
      </c>
      <c r="J5" s="31" t="n">
        <f aca="false">INT((J4-1)/12)+1</f>
        <v>1</v>
      </c>
      <c r="K5" s="31" t="n">
        <f aca="false">INT((K4-1)/12)+1</f>
        <v>1</v>
      </c>
      <c r="L5" s="31" t="n">
        <f aca="false">INT((L4-1)/12)+1</f>
        <v>1</v>
      </c>
      <c r="M5" s="31" t="n">
        <f aca="false">INT((M4-1)/12)+1</f>
        <v>1</v>
      </c>
      <c r="N5" s="31" t="n">
        <f aca="false">INT((N4-1)/12)+1</f>
        <v>1</v>
      </c>
      <c r="O5" s="31" t="n">
        <f aca="false">INT((O4-1)/12)+1</f>
        <v>2</v>
      </c>
      <c r="P5" s="31" t="n">
        <f aca="false">INT((P4-1)/12)+1</f>
        <v>2</v>
      </c>
      <c r="Q5" s="31" t="n">
        <f aca="false">INT((Q4-1)/12)+1</f>
        <v>2</v>
      </c>
      <c r="R5" s="31" t="n">
        <f aca="false">INT((R4-1)/12)+1</f>
        <v>2</v>
      </c>
      <c r="S5" s="31" t="n">
        <f aca="false">INT((S4-1)/12)+1</f>
        <v>2</v>
      </c>
      <c r="T5" s="31" t="n">
        <f aca="false">INT((T4-1)/12)+1</f>
        <v>2</v>
      </c>
      <c r="U5" s="31" t="n">
        <f aca="false">INT((U4-1)/12)+1</f>
        <v>2</v>
      </c>
      <c r="V5" s="31" t="n">
        <f aca="false">INT((V4-1)/12)+1</f>
        <v>2</v>
      </c>
      <c r="W5" s="31" t="n">
        <f aca="false">INT((W4-1)/12)+1</f>
        <v>2</v>
      </c>
      <c r="X5" s="31" t="n">
        <f aca="false">INT((X4-1)/12)+1</f>
        <v>2</v>
      </c>
      <c r="Y5" s="31" t="n">
        <f aca="false">INT((Y4-1)/12)+1</f>
        <v>2</v>
      </c>
      <c r="Z5" s="31" t="n">
        <f aca="false">INT((Z4-1)/12)+1</f>
        <v>2</v>
      </c>
      <c r="AA5" s="31" t="n">
        <f aca="false">INT((AA4-1)/12)+1</f>
        <v>3</v>
      </c>
      <c r="AB5" s="31" t="n">
        <f aca="false">INT((AB4-1)/12)+1</f>
        <v>3</v>
      </c>
      <c r="AC5" s="31" t="n">
        <f aca="false">INT((AC4-1)/12)+1</f>
        <v>3</v>
      </c>
      <c r="AD5" s="31" t="n">
        <f aca="false">INT((AD4-1)/12)+1</f>
        <v>3</v>
      </c>
      <c r="AE5" s="31" t="n">
        <f aca="false">INT((AE4-1)/12)+1</f>
        <v>3</v>
      </c>
      <c r="AF5" s="31" t="n">
        <f aca="false">INT((AF4-1)/12)+1</f>
        <v>3</v>
      </c>
      <c r="AG5" s="31" t="n">
        <f aca="false">INT((AG4-1)/12)+1</f>
        <v>3</v>
      </c>
      <c r="AH5" s="31" t="n">
        <f aca="false">INT((AH4-1)/12)+1</f>
        <v>3</v>
      </c>
      <c r="AI5" s="31" t="n">
        <f aca="false">INT((AI4-1)/12)+1</f>
        <v>3</v>
      </c>
      <c r="AJ5" s="31" t="n">
        <f aca="false">INT((AJ4-1)/12)+1</f>
        <v>3</v>
      </c>
      <c r="AK5" s="31" t="n">
        <f aca="false">INT((AK4-1)/12)+1</f>
        <v>3</v>
      </c>
      <c r="AL5" s="31" t="n">
        <f aca="false">INT((AL4-1)/12)+1</f>
        <v>3</v>
      </c>
      <c r="AM5" s="29" t="n">
        <v>1</v>
      </c>
      <c r="AN5" s="29" t="n">
        <v>2</v>
      </c>
      <c r="AO5" s="29" t="n">
        <v>3</v>
      </c>
    </row>
    <row r="6" customFormat="false" ht="15" hidden="false" customHeight="false" outlineLevel="0" collapsed="false">
      <c r="A6" s="5" t="s">
        <v>205</v>
      </c>
      <c r="B6" s="5" t="s">
        <v>63</v>
      </c>
      <c r="C6" s="32" t="n">
        <f aca="false">EDATE(Assumptions!$C$7,C4-1)</f>
        <v>46388</v>
      </c>
      <c r="D6" s="32" t="n">
        <f aca="false">EDATE(Assumptions!$C$7,D4-1)</f>
        <v>46419</v>
      </c>
      <c r="E6" s="32" t="n">
        <f aca="false">EDATE(Assumptions!$C$7,E4-1)</f>
        <v>46447</v>
      </c>
      <c r="F6" s="32" t="n">
        <f aca="false">EDATE(Assumptions!$C$7,F4-1)</f>
        <v>46478</v>
      </c>
      <c r="G6" s="32" t="n">
        <f aca="false">EDATE(Assumptions!$C$7,G4-1)</f>
        <v>46508</v>
      </c>
      <c r="H6" s="32" t="n">
        <f aca="false">EDATE(Assumptions!$C$7,H4-1)</f>
        <v>46539</v>
      </c>
      <c r="I6" s="32" t="n">
        <f aca="false">EDATE(Assumptions!$C$7,I4-1)</f>
        <v>46569</v>
      </c>
      <c r="J6" s="32" t="n">
        <f aca="false">EDATE(Assumptions!$C$7,J4-1)</f>
        <v>46600</v>
      </c>
      <c r="K6" s="32" t="n">
        <f aca="false">EDATE(Assumptions!$C$7,K4-1)</f>
        <v>46631</v>
      </c>
      <c r="L6" s="32" t="n">
        <f aca="false">EDATE(Assumptions!$C$7,L4-1)</f>
        <v>46661</v>
      </c>
      <c r="M6" s="32" t="n">
        <f aca="false">EDATE(Assumptions!$C$7,M4-1)</f>
        <v>46692</v>
      </c>
      <c r="N6" s="32" t="n">
        <f aca="false">EDATE(Assumptions!$C$7,N4-1)</f>
        <v>46722</v>
      </c>
      <c r="O6" s="32" t="n">
        <f aca="false">EDATE(Assumptions!$C$7,O4-1)</f>
        <v>46753</v>
      </c>
      <c r="P6" s="32" t="n">
        <f aca="false">EDATE(Assumptions!$C$7,P4-1)</f>
        <v>46784</v>
      </c>
      <c r="Q6" s="32" t="n">
        <f aca="false">EDATE(Assumptions!$C$7,Q4-1)</f>
        <v>46813</v>
      </c>
      <c r="R6" s="32" t="n">
        <f aca="false">EDATE(Assumptions!$C$7,R4-1)</f>
        <v>46844</v>
      </c>
      <c r="S6" s="32" t="n">
        <f aca="false">EDATE(Assumptions!$C$7,S4-1)</f>
        <v>46874</v>
      </c>
      <c r="T6" s="32" t="n">
        <f aca="false">EDATE(Assumptions!$C$7,T4-1)</f>
        <v>46905</v>
      </c>
      <c r="U6" s="32" t="n">
        <f aca="false">EDATE(Assumptions!$C$7,U4-1)</f>
        <v>46935</v>
      </c>
      <c r="V6" s="32" t="n">
        <f aca="false">EDATE(Assumptions!$C$7,V4-1)</f>
        <v>46966</v>
      </c>
      <c r="W6" s="32" t="n">
        <f aca="false">EDATE(Assumptions!$C$7,W4-1)</f>
        <v>46997</v>
      </c>
      <c r="X6" s="32" t="n">
        <f aca="false">EDATE(Assumptions!$C$7,X4-1)</f>
        <v>47027</v>
      </c>
      <c r="Y6" s="32" t="n">
        <f aca="false">EDATE(Assumptions!$C$7,Y4-1)</f>
        <v>47058</v>
      </c>
      <c r="Z6" s="32" t="n">
        <f aca="false">EDATE(Assumptions!$C$7,Z4-1)</f>
        <v>47088</v>
      </c>
      <c r="AA6" s="32" t="n">
        <f aca="false">EDATE(Assumptions!$C$7,AA4-1)</f>
        <v>47119</v>
      </c>
      <c r="AB6" s="32" t="n">
        <f aca="false">EDATE(Assumptions!$C$7,AB4-1)</f>
        <v>47150</v>
      </c>
      <c r="AC6" s="32" t="n">
        <f aca="false">EDATE(Assumptions!$C$7,AC4-1)</f>
        <v>47178</v>
      </c>
      <c r="AD6" s="32" t="n">
        <f aca="false">EDATE(Assumptions!$C$7,AD4-1)</f>
        <v>47209</v>
      </c>
      <c r="AE6" s="32" t="n">
        <f aca="false">EDATE(Assumptions!$C$7,AE4-1)</f>
        <v>47239</v>
      </c>
      <c r="AF6" s="32" t="n">
        <f aca="false">EDATE(Assumptions!$C$7,AF4-1)</f>
        <v>47270</v>
      </c>
      <c r="AG6" s="32" t="n">
        <f aca="false">EDATE(Assumptions!$C$7,AG4-1)</f>
        <v>47300</v>
      </c>
      <c r="AH6" s="32" t="n">
        <f aca="false">EDATE(Assumptions!$C$7,AH4-1)</f>
        <v>47331</v>
      </c>
      <c r="AI6" s="32" t="n">
        <f aca="false">EDATE(Assumptions!$C$7,AI4-1)</f>
        <v>47362</v>
      </c>
      <c r="AJ6" s="32" t="n">
        <f aca="false">EDATE(Assumptions!$C$7,AJ4-1)</f>
        <v>47392</v>
      </c>
      <c r="AK6" s="32" t="n">
        <f aca="false">EDATE(Assumptions!$C$7,AK4-1)</f>
        <v>47423</v>
      </c>
      <c r="AL6" s="32" t="n">
        <f aca="false">EDATE(Assumptions!$C$7,AL4-1)</f>
        <v>47453</v>
      </c>
      <c r="AM6" s="33" t="s">
        <v>206</v>
      </c>
      <c r="AN6" s="33" t="s">
        <v>207</v>
      </c>
      <c r="AO6" s="33" t="s">
        <v>208</v>
      </c>
    </row>
    <row r="7" customFormat="false" ht="15" hidden="false" customHeight="false" outlineLevel="0" collapsed="false">
      <c r="A7" s="7" t="s">
        <v>253</v>
      </c>
      <c r="B7" s="2"/>
      <c r="C7" s="48" t="n">
        <f aca="false">Revenue!C27</f>
        <v>73015.8624</v>
      </c>
      <c r="D7" s="48" t="n">
        <f aca="false">Revenue!D27</f>
        <v>77786.9568</v>
      </c>
      <c r="E7" s="48" t="n">
        <f aca="false">Revenue!E27</f>
        <v>106091.424</v>
      </c>
      <c r="F7" s="48" t="n">
        <f aca="false">Revenue!F27</f>
        <v>108708.48</v>
      </c>
      <c r="G7" s="48" t="n">
        <f aca="false">Revenue!G27</f>
        <v>124501.4064</v>
      </c>
      <c r="H7" s="48" t="n">
        <f aca="false">Revenue!H27</f>
        <v>126826.56</v>
      </c>
      <c r="I7" s="48" t="n">
        <f aca="false">Revenue!I27</f>
        <v>131054.112</v>
      </c>
      <c r="J7" s="48" t="n">
        <f aca="false">Revenue!J27</f>
        <v>128557.8432</v>
      </c>
      <c r="K7" s="48" t="n">
        <f aca="false">Revenue!K27</f>
        <v>120787.2</v>
      </c>
      <c r="L7" s="48" t="n">
        <f aca="false">Revenue!L27</f>
        <v>124813.44</v>
      </c>
      <c r="M7" s="48" t="n">
        <f aca="false">Revenue!M27</f>
        <v>118371.456</v>
      </c>
      <c r="N7" s="48" t="n">
        <f aca="false">Revenue!N27</f>
        <v>127309.7088</v>
      </c>
      <c r="O7" s="48" t="n">
        <f aca="false">Revenue!O27</f>
        <v>119173.1206464</v>
      </c>
      <c r="P7" s="48" t="n">
        <f aca="false">Revenue!P27</f>
        <v>113961.96626688</v>
      </c>
      <c r="Q7" s="48" t="n">
        <f aca="false">Revenue!Q27</f>
        <v>132414.578496</v>
      </c>
      <c r="R7" s="48" t="n">
        <f aca="false">Revenue!R27</f>
        <v>128143.14048</v>
      </c>
      <c r="S7" s="48" t="n">
        <f aca="false">Revenue!S27</f>
        <v>139035.3074208</v>
      </c>
      <c r="T7" s="48" t="n">
        <f aca="false">Revenue!T27</f>
        <v>134550.297504</v>
      </c>
      <c r="U7" s="48" t="n">
        <f aca="false">Revenue!U27</f>
        <v>139035.3074208</v>
      </c>
      <c r="V7" s="48" t="n">
        <f aca="false">Revenue!V27</f>
        <v>136387.01585088</v>
      </c>
      <c r="W7" s="48" t="n">
        <f aca="false">Revenue!W27</f>
        <v>128143.14048</v>
      </c>
      <c r="X7" s="48" t="n">
        <f aca="false">Revenue!X27</f>
        <v>132414.578496</v>
      </c>
      <c r="Y7" s="48" t="n">
        <f aca="false">Revenue!Y27</f>
        <v>125580.2776704</v>
      </c>
      <c r="Z7" s="48" t="n">
        <f aca="false">Revenue!Z27</f>
        <v>135062.87006592</v>
      </c>
      <c r="AA7" s="48" t="n">
        <f aca="false">Revenue!AA27</f>
        <v>125203.280551108</v>
      </c>
      <c r="AB7" s="48" t="n">
        <f aca="false">Revenue!AB27</f>
        <v>115599.874802743</v>
      </c>
      <c r="AC7" s="48" t="n">
        <f aca="false">Revenue!AC27</f>
        <v>139114.756167898</v>
      </c>
      <c r="AD7" s="48" t="n">
        <f aca="false">Revenue!AD27</f>
        <v>134627.183388288</v>
      </c>
      <c r="AE7" s="48" t="n">
        <f aca="false">Revenue!AE27</f>
        <v>146070.493976293</v>
      </c>
      <c r="AF7" s="48" t="n">
        <f aca="false">Revenue!AF27</f>
        <v>141358.542557702</v>
      </c>
      <c r="AG7" s="48" t="n">
        <f aca="false">Revenue!AG27</f>
        <v>146070.493976293</v>
      </c>
      <c r="AH7" s="48" t="n">
        <f aca="false">Revenue!AH27</f>
        <v>143288.198852935</v>
      </c>
      <c r="AI7" s="48" t="n">
        <f aca="false">Revenue!AI27</f>
        <v>134627.183388288</v>
      </c>
      <c r="AJ7" s="48" t="n">
        <f aca="false">Revenue!AJ27</f>
        <v>139114.756167898</v>
      </c>
      <c r="AK7" s="48" t="n">
        <f aca="false">Revenue!AK27</f>
        <v>131934.639720522</v>
      </c>
      <c r="AL7" s="48" t="n">
        <f aca="false">Revenue!AL27</f>
        <v>141897.051291256</v>
      </c>
      <c r="AM7" s="44" t="n">
        <f aca="false">SUMIF($C$5:$AL$5,AM$5,$C7:$AL7)</f>
        <v>1367824.4496</v>
      </c>
      <c r="AN7" s="44" t="n">
        <f aca="false">SUMIF($C$5:$AL$5,AN$5,$C7:$AL7)</f>
        <v>1563901.60079808</v>
      </c>
      <c r="AO7" s="44" t="n">
        <f aca="false">SUMIF($C$5:$AL$5,AO$5,$C7:$AL7)</f>
        <v>1638906.45484122</v>
      </c>
    </row>
    <row r="8" customFormat="false" ht="15" hidden="false" customHeight="false" outlineLevel="0" collapsed="false">
      <c r="A8" s="7" t="s">
        <v>254</v>
      </c>
      <c r="B8" s="2"/>
      <c r="C8" s="37" t="n">
        <f aca="false">(1+Assumptions!$C$66)^(C5-1)</f>
        <v>1</v>
      </c>
      <c r="D8" s="37" t="n">
        <f aca="false">(1+Assumptions!$C$66)^(D5-1)</f>
        <v>1</v>
      </c>
      <c r="E8" s="37" t="n">
        <f aca="false">(1+Assumptions!$C$66)^(E5-1)</f>
        <v>1</v>
      </c>
      <c r="F8" s="37" t="n">
        <f aca="false">(1+Assumptions!$C$66)^(F5-1)</f>
        <v>1</v>
      </c>
      <c r="G8" s="37" t="n">
        <f aca="false">(1+Assumptions!$C$66)^(G5-1)</f>
        <v>1</v>
      </c>
      <c r="H8" s="37" t="n">
        <f aca="false">(1+Assumptions!$C$66)^(H5-1)</f>
        <v>1</v>
      </c>
      <c r="I8" s="37" t="n">
        <f aca="false">(1+Assumptions!$C$66)^(I5-1)</f>
        <v>1</v>
      </c>
      <c r="J8" s="37" t="n">
        <f aca="false">(1+Assumptions!$C$66)^(J5-1)</f>
        <v>1</v>
      </c>
      <c r="K8" s="37" t="n">
        <f aca="false">(1+Assumptions!$C$66)^(K5-1)</f>
        <v>1</v>
      </c>
      <c r="L8" s="37" t="n">
        <f aca="false">(1+Assumptions!$C$66)^(L5-1)</f>
        <v>1</v>
      </c>
      <c r="M8" s="37" t="n">
        <f aca="false">(1+Assumptions!$C$66)^(M5-1)</f>
        <v>1</v>
      </c>
      <c r="N8" s="37" t="n">
        <f aca="false">(1+Assumptions!$C$66)^(N5-1)</f>
        <v>1</v>
      </c>
      <c r="O8" s="37" t="n">
        <f aca="false">(1+Assumptions!$C$66)^(O5-1)</f>
        <v>1.03</v>
      </c>
      <c r="P8" s="37" t="n">
        <f aca="false">(1+Assumptions!$C$66)^(P5-1)</f>
        <v>1.03</v>
      </c>
      <c r="Q8" s="37" t="n">
        <f aca="false">(1+Assumptions!$C$66)^(Q5-1)</f>
        <v>1.03</v>
      </c>
      <c r="R8" s="37" t="n">
        <f aca="false">(1+Assumptions!$C$66)^(R5-1)</f>
        <v>1.03</v>
      </c>
      <c r="S8" s="37" t="n">
        <f aca="false">(1+Assumptions!$C$66)^(S5-1)</f>
        <v>1.03</v>
      </c>
      <c r="T8" s="37" t="n">
        <f aca="false">(1+Assumptions!$C$66)^(T5-1)</f>
        <v>1.03</v>
      </c>
      <c r="U8" s="37" t="n">
        <f aca="false">(1+Assumptions!$C$66)^(U5-1)</f>
        <v>1.03</v>
      </c>
      <c r="V8" s="37" t="n">
        <f aca="false">(1+Assumptions!$C$66)^(V5-1)</f>
        <v>1.03</v>
      </c>
      <c r="W8" s="37" t="n">
        <f aca="false">(1+Assumptions!$C$66)^(W5-1)</f>
        <v>1.03</v>
      </c>
      <c r="X8" s="37" t="n">
        <f aca="false">(1+Assumptions!$C$66)^(X5-1)</f>
        <v>1.03</v>
      </c>
      <c r="Y8" s="37" t="n">
        <f aca="false">(1+Assumptions!$C$66)^(Y5-1)</f>
        <v>1.03</v>
      </c>
      <c r="Z8" s="37" t="n">
        <f aca="false">(1+Assumptions!$C$66)^(Z5-1)</f>
        <v>1.03</v>
      </c>
      <c r="AA8" s="37" t="n">
        <f aca="false">(1+Assumptions!$C$66)^(AA5-1)</f>
        <v>1.0609</v>
      </c>
      <c r="AB8" s="37" t="n">
        <f aca="false">(1+Assumptions!$C$66)^(AB5-1)</f>
        <v>1.0609</v>
      </c>
      <c r="AC8" s="37" t="n">
        <f aca="false">(1+Assumptions!$C$66)^(AC5-1)</f>
        <v>1.0609</v>
      </c>
      <c r="AD8" s="37" t="n">
        <f aca="false">(1+Assumptions!$C$66)^(AD5-1)</f>
        <v>1.0609</v>
      </c>
      <c r="AE8" s="37" t="n">
        <f aca="false">(1+Assumptions!$C$66)^(AE5-1)</f>
        <v>1.0609</v>
      </c>
      <c r="AF8" s="37" t="n">
        <f aca="false">(1+Assumptions!$C$66)^(AF5-1)</f>
        <v>1.0609</v>
      </c>
      <c r="AG8" s="37" t="n">
        <f aca="false">(1+Assumptions!$C$66)^(AG5-1)</f>
        <v>1.0609</v>
      </c>
      <c r="AH8" s="37" t="n">
        <f aca="false">(1+Assumptions!$C$66)^(AH5-1)</f>
        <v>1.0609</v>
      </c>
      <c r="AI8" s="37" t="n">
        <f aca="false">(1+Assumptions!$C$66)^(AI5-1)</f>
        <v>1.0609</v>
      </c>
      <c r="AJ8" s="37" t="n">
        <f aca="false">(1+Assumptions!$C$66)^(AJ5-1)</f>
        <v>1.0609</v>
      </c>
      <c r="AK8" s="37" t="n">
        <f aca="false">(1+Assumptions!$C$66)^(AK5-1)</f>
        <v>1.0609</v>
      </c>
      <c r="AL8" s="37" t="n">
        <f aca="false">(1+Assumptions!$C$66)^(AL5-1)</f>
        <v>1.0609</v>
      </c>
    </row>
    <row r="9" customFormat="false" ht="15" hidden="false" customHeight="false" outlineLevel="0" collapsed="false">
      <c r="A9" s="7" t="s">
        <v>255</v>
      </c>
      <c r="B9" s="2"/>
      <c r="C9" s="37" t="n">
        <f aca="false">(1+Assumptions!$C$77)^(C5-1)</f>
        <v>1</v>
      </c>
      <c r="D9" s="37" t="n">
        <f aca="false">(1+Assumptions!$C$77)^(D5-1)</f>
        <v>1</v>
      </c>
      <c r="E9" s="37" t="n">
        <f aca="false">(1+Assumptions!$C$77)^(E5-1)</f>
        <v>1</v>
      </c>
      <c r="F9" s="37" t="n">
        <f aca="false">(1+Assumptions!$C$77)^(F5-1)</f>
        <v>1</v>
      </c>
      <c r="G9" s="37" t="n">
        <f aca="false">(1+Assumptions!$C$77)^(G5-1)</f>
        <v>1</v>
      </c>
      <c r="H9" s="37" t="n">
        <f aca="false">(1+Assumptions!$C$77)^(H5-1)</f>
        <v>1</v>
      </c>
      <c r="I9" s="37" t="n">
        <f aca="false">(1+Assumptions!$C$77)^(I5-1)</f>
        <v>1</v>
      </c>
      <c r="J9" s="37" t="n">
        <f aca="false">(1+Assumptions!$C$77)^(J5-1)</f>
        <v>1</v>
      </c>
      <c r="K9" s="37" t="n">
        <f aca="false">(1+Assumptions!$C$77)^(K5-1)</f>
        <v>1</v>
      </c>
      <c r="L9" s="37" t="n">
        <f aca="false">(1+Assumptions!$C$77)^(L5-1)</f>
        <v>1</v>
      </c>
      <c r="M9" s="37" t="n">
        <f aca="false">(1+Assumptions!$C$77)^(M5-1)</f>
        <v>1</v>
      </c>
      <c r="N9" s="37" t="n">
        <f aca="false">(1+Assumptions!$C$77)^(N5-1)</f>
        <v>1</v>
      </c>
      <c r="O9" s="37" t="n">
        <f aca="false">(1+Assumptions!$C$77)^(O5-1)</f>
        <v>1.03</v>
      </c>
      <c r="P9" s="37" t="n">
        <f aca="false">(1+Assumptions!$C$77)^(P5-1)</f>
        <v>1.03</v>
      </c>
      <c r="Q9" s="37" t="n">
        <f aca="false">(1+Assumptions!$C$77)^(Q5-1)</f>
        <v>1.03</v>
      </c>
      <c r="R9" s="37" t="n">
        <f aca="false">(1+Assumptions!$C$77)^(R5-1)</f>
        <v>1.03</v>
      </c>
      <c r="S9" s="37" t="n">
        <f aca="false">(1+Assumptions!$C$77)^(S5-1)</f>
        <v>1.03</v>
      </c>
      <c r="T9" s="37" t="n">
        <f aca="false">(1+Assumptions!$C$77)^(T5-1)</f>
        <v>1.03</v>
      </c>
      <c r="U9" s="37" t="n">
        <f aca="false">(1+Assumptions!$C$77)^(U5-1)</f>
        <v>1.03</v>
      </c>
      <c r="V9" s="37" t="n">
        <f aca="false">(1+Assumptions!$C$77)^(V5-1)</f>
        <v>1.03</v>
      </c>
      <c r="W9" s="37" t="n">
        <f aca="false">(1+Assumptions!$C$77)^(W5-1)</f>
        <v>1.03</v>
      </c>
      <c r="X9" s="37" t="n">
        <f aca="false">(1+Assumptions!$C$77)^(X5-1)</f>
        <v>1.03</v>
      </c>
      <c r="Y9" s="37" t="n">
        <f aca="false">(1+Assumptions!$C$77)^(Y5-1)</f>
        <v>1.03</v>
      </c>
      <c r="Z9" s="37" t="n">
        <f aca="false">(1+Assumptions!$C$77)^(Z5-1)</f>
        <v>1.03</v>
      </c>
      <c r="AA9" s="37" t="n">
        <f aca="false">(1+Assumptions!$C$77)^(AA5-1)</f>
        <v>1.0609</v>
      </c>
      <c r="AB9" s="37" t="n">
        <f aca="false">(1+Assumptions!$C$77)^(AB5-1)</f>
        <v>1.0609</v>
      </c>
      <c r="AC9" s="37" t="n">
        <f aca="false">(1+Assumptions!$C$77)^(AC5-1)</f>
        <v>1.0609</v>
      </c>
      <c r="AD9" s="37" t="n">
        <f aca="false">(1+Assumptions!$C$77)^(AD5-1)</f>
        <v>1.0609</v>
      </c>
      <c r="AE9" s="37" t="n">
        <f aca="false">(1+Assumptions!$C$77)^(AE5-1)</f>
        <v>1.0609</v>
      </c>
      <c r="AF9" s="37" t="n">
        <f aca="false">(1+Assumptions!$C$77)^(AF5-1)</f>
        <v>1.0609</v>
      </c>
      <c r="AG9" s="37" t="n">
        <f aca="false">(1+Assumptions!$C$77)^(AG5-1)</f>
        <v>1.0609</v>
      </c>
      <c r="AH9" s="37" t="n">
        <f aca="false">(1+Assumptions!$C$77)^(AH5-1)</f>
        <v>1.0609</v>
      </c>
      <c r="AI9" s="37" t="n">
        <f aca="false">(1+Assumptions!$C$77)^(AI5-1)</f>
        <v>1.0609</v>
      </c>
      <c r="AJ9" s="37" t="n">
        <f aca="false">(1+Assumptions!$C$77)^(AJ5-1)</f>
        <v>1.0609</v>
      </c>
      <c r="AK9" s="37" t="n">
        <f aca="false">(1+Assumptions!$C$77)^(AK5-1)</f>
        <v>1.0609</v>
      </c>
      <c r="AL9" s="37" t="n">
        <f aca="false">(1+Assumptions!$C$77)^(AL5-1)</f>
        <v>1.0609</v>
      </c>
    </row>
    <row r="11" customFormat="false" ht="15" hidden="false" customHeight="false" outlineLevel="0" collapsed="false">
      <c r="A11" s="34" t="s">
        <v>256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</row>
    <row r="12" customFormat="false" ht="15" hidden="false" customHeight="false" outlineLevel="0" collapsed="false">
      <c r="A12" s="7" t="s">
        <v>257</v>
      </c>
      <c r="B12" s="2"/>
      <c r="C12" s="28" t="n">
        <f aca="false">Assumptions!$C$64*C8</f>
        <v>7500</v>
      </c>
      <c r="D12" s="28" t="n">
        <f aca="false">Assumptions!$C$64*D8</f>
        <v>7500</v>
      </c>
      <c r="E12" s="28" t="n">
        <f aca="false">Assumptions!$C$64*E8</f>
        <v>7500</v>
      </c>
      <c r="F12" s="28" t="n">
        <f aca="false">Assumptions!$C$64*F8</f>
        <v>7500</v>
      </c>
      <c r="G12" s="28" t="n">
        <f aca="false">Assumptions!$C$64*G8</f>
        <v>7500</v>
      </c>
      <c r="H12" s="28" t="n">
        <f aca="false">Assumptions!$C$64*H8</f>
        <v>7500</v>
      </c>
      <c r="I12" s="28" t="n">
        <f aca="false">Assumptions!$C$64*I8</f>
        <v>7500</v>
      </c>
      <c r="J12" s="28" t="n">
        <f aca="false">Assumptions!$C$64*J8</f>
        <v>7500</v>
      </c>
      <c r="K12" s="28" t="n">
        <f aca="false">Assumptions!$C$64*K8</f>
        <v>7500</v>
      </c>
      <c r="L12" s="28" t="n">
        <f aca="false">Assumptions!$C$64*L8</f>
        <v>7500</v>
      </c>
      <c r="M12" s="28" t="n">
        <f aca="false">Assumptions!$C$64*M8</f>
        <v>7500</v>
      </c>
      <c r="N12" s="28" t="n">
        <f aca="false">Assumptions!$C$64*N8</f>
        <v>7500</v>
      </c>
      <c r="O12" s="28" t="n">
        <f aca="false">Assumptions!$C$64*O8</f>
        <v>7725</v>
      </c>
      <c r="P12" s="28" t="n">
        <f aca="false">Assumptions!$C$64*P8</f>
        <v>7725</v>
      </c>
      <c r="Q12" s="28" t="n">
        <f aca="false">Assumptions!$C$64*Q8</f>
        <v>7725</v>
      </c>
      <c r="R12" s="28" t="n">
        <f aca="false">Assumptions!$C$64*R8</f>
        <v>7725</v>
      </c>
      <c r="S12" s="28" t="n">
        <f aca="false">Assumptions!$C$64*S8</f>
        <v>7725</v>
      </c>
      <c r="T12" s="28" t="n">
        <f aca="false">Assumptions!$C$64*T8</f>
        <v>7725</v>
      </c>
      <c r="U12" s="28" t="n">
        <f aca="false">Assumptions!$C$64*U8</f>
        <v>7725</v>
      </c>
      <c r="V12" s="28" t="n">
        <f aca="false">Assumptions!$C$64*V8</f>
        <v>7725</v>
      </c>
      <c r="W12" s="28" t="n">
        <f aca="false">Assumptions!$C$64*W8</f>
        <v>7725</v>
      </c>
      <c r="X12" s="28" t="n">
        <f aca="false">Assumptions!$C$64*X8</f>
        <v>7725</v>
      </c>
      <c r="Y12" s="28" t="n">
        <f aca="false">Assumptions!$C$64*Y8</f>
        <v>7725</v>
      </c>
      <c r="Z12" s="28" t="n">
        <f aca="false">Assumptions!$C$64*Z8</f>
        <v>7725</v>
      </c>
      <c r="AA12" s="28" t="n">
        <f aca="false">Assumptions!$C$64*AA8</f>
        <v>7956.75</v>
      </c>
      <c r="AB12" s="28" t="n">
        <f aca="false">Assumptions!$C$64*AB8</f>
        <v>7956.75</v>
      </c>
      <c r="AC12" s="28" t="n">
        <f aca="false">Assumptions!$C$64*AC8</f>
        <v>7956.75</v>
      </c>
      <c r="AD12" s="28" t="n">
        <f aca="false">Assumptions!$C$64*AD8</f>
        <v>7956.75</v>
      </c>
      <c r="AE12" s="28" t="n">
        <f aca="false">Assumptions!$C$64*AE8</f>
        <v>7956.75</v>
      </c>
      <c r="AF12" s="28" t="n">
        <f aca="false">Assumptions!$C$64*AF8</f>
        <v>7956.75</v>
      </c>
      <c r="AG12" s="28" t="n">
        <f aca="false">Assumptions!$C$64*AG8</f>
        <v>7956.75</v>
      </c>
      <c r="AH12" s="28" t="n">
        <f aca="false">Assumptions!$C$64*AH8</f>
        <v>7956.75</v>
      </c>
      <c r="AI12" s="28" t="n">
        <f aca="false">Assumptions!$C$64*AI8</f>
        <v>7956.75</v>
      </c>
      <c r="AJ12" s="28" t="n">
        <f aca="false">Assumptions!$C$64*AJ8</f>
        <v>7956.75</v>
      </c>
      <c r="AK12" s="28" t="n">
        <f aca="false">Assumptions!$C$64*AK8</f>
        <v>7956.75</v>
      </c>
      <c r="AL12" s="28" t="n">
        <f aca="false">Assumptions!$C$64*AL8</f>
        <v>7956.75</v>
      </c>
      <c r="AM12" s="44" t="n">
        <f aca="false">SUMIF($C$5:$AL$5,AM$5,$C12:$AL12)</f>
        <v>90000</v>
      </c>
      <c r="AN12" s="44" t="n">
        <f aca="false">SUMIF($C$5:$AL$5,AN$5,$C12:$AL12)</f>
        <v>92700</v>
      </c>
      <c r="AO12" s="44" t="n">
        <f aca="false">SUMIF($C$5:$AL$5,AO$5,$C12:$AL12)</f>
        <v>95481</v>
      </c>
    </row>
    <row r="13" customFormat="false" ht="15" hidden="false" customHeight="false" outlineLevel="0" collapsed="false">
      <c r="A13" s="7" t="s">
        <v>258</v>
      </c>
      <c r="B13" s="2"/>
      <c r="C13" s="28" t="n">
        <f aca="false">Assumptions!$C$65*C8</f>
        <v>1500</v>
      </c>
      <c r="D13" s="28" t="n">
        <f aca="false">Assumptions!$C$65*D8</f>
        <v>1500</v>
      </c>
      <c r="E13" s="28" t="n">
        <f aca="false">Assumptions!$C$65*E8</f>
        <v>1500</v>
      </c>
      <c r="F13" s="28" t="n">
        <f aca="false">Assumptions!$C$65*F8</f>
        <v>1500</v>
      </c>
      <c r="G13" s="28" t="n">
        <f aca="false">Assumptions!$C$65*G8</f>
        <v>1500</v>
      </c>
      <c r="H13" s="28" t="n">
        <f aca="false">Assumptions!$C$65*H8</f>
        <v>1500</v>
      </c>
      <c r="I13" s="28" t="n">
        <f aca="false">Assumptions!$C$65*I8</f>
        <v>1500</v>
      </c>
      <c r="J13" s="28" t="n">
        <f aca="false">Assumptions!$C$65*J8</f>
        <v>1500</v>
      </c>
      <c r="K13" s="28" t="n">
        <f aca="false">Assumptions!$C$65*K8</f>
        <v>1500</v>
      </c>
      <c r="L13" s="28" t="n">
        <f aca="false">Assumptions!$C$65*L8</f>
        <v>1500</v>
      </c>
      <c r="M13" s="28" t="n">
        <f aca="false">Assumptions!$C$65*M8</f>
        <v>1500</v>
      </c>
      <c r="N13" s="28" t="n">
        <f aca="false">Assumptions!$C$65*N8</f>
        <v>1500</v>
      </c>
      <c r="O13" s="28" t="n">
        <f aca="false">Assumptions!$C$65*O8</f>
        <v>1545</v>
      </c>
      <c r="P13" s="28" t="n">
        <f aca="false">Assumptions!$C$65*P8</f>
        <v>1545</v>
      </c>
      <c r="Q13" s="28" t="n">
        <f aca="false">Assumptions!$C$65*Q8</f>
        <v>1545</v>
      </c>
      <c r="R13" s="28" t="n">
        <f aca="false">Assumptions!$C$65*R8</f>
        <v>1545</v>
      </c>
      <c r="S13" s="28" t="n">
        <f aca="false">Assumptions!$C$65*S8</f>
        <v>1545</v>
      </c>
      <c r="T13" s="28" t="n">
        <f aca="false">Assumptions!$C$65*T8</f>
        <v>1545</v>
      </c>
      <c r="U13" s="28" t="n">
        <f aca="false">Assumptions!$C$65*U8</f>
        <v>1545</v>
      </c>
      <c r="V13" s="28" t="n">
        <f aca="false">Assumptions!$C$65*V8</f>
        <v>1545</v>
      </c>
      <c r="W13" s="28" t="n">
        <f aca="false">Assumptions!$C$65*W8</f>
        <v>1545</v>
      </c>
      <c r="X13" s="28" t="n">
        <f aca="false">Assumptions!$C$65*X8</f>
        <v>1545</v>
      </c>
      <c r="Y13" s="28" t="n">
        <f aca="false">Assumptions!$C$65*Y8</f>
        <v>1545</v>
      </c>
      <c r="Z13" s="28" t="n">
        <f aca="false">Assumptions!$C$65*Z8</f>
        <v>1545</v>
      </c>
      <c r="AA13" s="28" t="n">
        <f aca="false">Assumptions!$C$65*AA8</f>
        <v>1591.35</v>
      </c>
      <c r="AB13" s="28" t="n">
        <f aca="false">Assumptions!$C$65*AB8</f>
        <v>1591.35</v>
      </c>
      <c r="AC13" s="28" t="n">
        <f aca="false">Assumptions!$C$65*AC8</f>
        <v>1591.35</v>
      </c>
      <c r="AD13" s="28" t="n">
        <f aca="false">Assumptions!$C$65*AD8</f>
        <v>1591.35</v>
      </c>
      <c r="AE13" s="28" t="n">
        <f aca="false">Assumptions!$C$65*AE8</f>
        <v>1591.35</v>
      </c>
      <c r="AF13" s="28" t="n">
        <f aca="false">Assumptions!$C$65*AF8</f>
        <v>1591.35</v>
      </c>
      <c r="AG13" s="28" t="n">
        <f aca="false">Assumptions!$C$65*AG8</f>
        <v>1591.35</v>
      </c>
      <c r="AH13" s="28" t="n">
        <f aca="false">Assumptions!$C$65*AH8</f>
        <v>1591.35</v>
      </c>
      <c r="AI13" s="28" t="n">
        <f aca="false">Assumptions!$C$65*AI8</f>
        <v>1591.35</v>
      </c>
      <c r="AJ13" s="28" t="n">
        <f aca="false">Assumptions!$C$65*AJ8</f>
        <v>1591.35</v>
      </c>
      <c r="AK13" s="28" t="n">
        <f aca="false">Assumptions!$C$65*AK8</f>
        <v>1591.35</v>
      </c>
      <c r="AL13" s="28" t="n">
        <f aca="false">Assumptions!$C$65*AL8</f>
        <v>1591.35</v>
      </c>
      <c r="AM13" s="44" t="n">
        <f aca="false">SUMIF($C$5:$AL$5,AM$5,$C13:$AL13)</f>
        <v>18000</v>
      </c>
      <c r="AN13" s="44" t="n">
        <f aca="false">SUMIF($C$5:$AL$5,AN$5,$C13:$AL13)</f>
        <v>18540</v>
      </c>
      <c r="AO13" s="44" t="n">
        <f aca="false">SUMIF($C$5:$AL$5,AO$5,$C13:$AL13)</f>
        <v>19096.2</v>
      </c>
    </row>
    <row r="14" customFormat="false" ht="15" hidden="false" customHeight="false" outlineLevel="0" collapsed="false">
      <c r="A14" s="40" t="s">
        <v>259</v>
      </c>
      <c r="B14" s="41"/>
      <c r="C14" s="45" t="n">
        <f aca="false">C12+C13</f>
        <v>9000</v>
      </c>
      <c r="D14" s="45" t="n">
        <f aca="false">D12+D13</f>
        <v>9000</v>
      </c>
      <c r="E14" s="45" t="n">
        <f aca="false">E12+E13</f>
        <v>9000</v>
      </c>
      <c r="F14" s="45" t="n">
        <f aca="false">F12+F13</f>
        <v>9000</v>
      </c>
      <c r="G14" s="45" t="n">
        <f aca="false">G12+G13</f>
        <v>9000</v>
      </c>
      <c r="H14" s="45" t="n">
        <f aca="false">H12+H13</f>
        <v>9000</v>
      </c>
      <c r="I14" s="45" t="n">
        <f aca="false">I12+I13</f>
        <v>9000</v>
      </c>
      <c r="J14" s="45" t="n">
        <f aca="false">J12+J13</f>
        <v>9000</v>
      </c>
      <c r="K14" s="45" t="n">
        <f aca="false">K12+K13</f>
        <v>9000</v>
      </c>
      <c r="L14" s="45" t="n">
        <f aca="false">L12+L13</f>
        <v>9000</v>
      </c>
      <c r="M14" s="45" t="n">
        <f aca="false">M12+M13</f>
        <v>9000</v>
      </c>
      <c r="N14" s="45" t="n">
        <f aca="false">N12+N13</f>
        <v>9000</v>
      </c>
      <c r="O14" s="45" t="n">
        <f aca="false">O12+O13</f>
        <v>9270</v>
      </c>
      <c r="P14" s="45" t="n">
        <f aca="false">P12+P13</f>
        <v>9270</v>
      </c>
      <c r="Q14" s="45" t="n">
        <f aca="false">Q12+Q13</f>
        <v>9270</v>
      </c>
      <c r="R14" s="45" t="n">
        <f aca="false">R12+R13</f>
        <v>9270</v>
      </c>
      <c r="S14" s="45" t="n">
        <f aca="false">S12+S13</f>
        <v>9270</v>
      </c>
      <c r="T14" s="45" t="n">
        <f aca="false">T12+T13</f>
        <v>9270</v>
      </c>
      <c r="U14" s="45" t="n">
        <f aca="false">U12+U13</f>
        <v>9270</v>
      </c>
      <c r="V14" s="45" t="n">
        <f aca="false">V12+V13</f>
        <v>9270</v>
      </c>
      <c r="W14" s="45" t="n">
        <f aca="false">W12+W13</f>
        <v>9270</v>
      </c>
      <c r="X14" s="45" t="n">
        <f aca="false">X12+X13</f>
        <v>9270</v>
      </c>
      <c r="Y14" s="45" t="n">
        <f aca="false">Y12+Y13</f>
        <v>9270</v>
      </c>
      <c r="Z14" s="45" t="n">
        <f aca="false">Z12+Z13</f>
        <v>9270</v>
      </c>
      <c r="AA14" s="45" t="n">
        <f aca="false">AA12+AA13</f>
        <v>9548.1</v>
      </c>
      <c r="AB14" s="45" t="n">
        <f aca="false">AB12+AB13</f>
        <v>9548.1</v>
      </c>
      <c r="AC14" s="45" t="n">
        <f aca="false">AC12+AC13</f>
        <v>9548.1</v>
      </c>
      <c r="AD14" s="45" t="n">
        <f aca="false">AD12+AD13</f>
        <v>9548.1</v>
      </c>
      <c r="AE14" s="45" t="n">
        <f aca="false">AE12+AE13</f>
        <v>9548.1</v>
      </c>
      <c r="AF14" s="45" t="n">
        <f aca="false">AF12+AF13</f>
        <v>9548.1</v>
      </c>
      <c r="AG14" s="45" t="n">
        <f aca="false">AG12+AG13</f>
        <v>9548.1</v>
      </c>
      <c r="AH14" s="45" t="n">
        <f aca="false">AH12+AH13</f>
        <v>9548.1</v>
      </c>
      <c r="AI14" s="45" t="n">
        <f aca="false">AI12+AI13</f>
        <v>9548.1</v>
      </c>
      <c r="AJ14" s="45" t="n">
        <f aca="false">AJ12+AJ13</f>
        <v>9548.1</v>
      </c>
      <c r="AK14" s="45" t="n">
        <f aca="false">AK12+AK13</f>
        <v>9548.1</v>
      </c>
      <c r="AL14" s="45" t="n">
        <f aca="false">AL12+AL13</f>
        <v>9548.1</v>
      </c>
      <c r="AM14" s="46" t="n">
        <f aca="false">SUMIF($C$5:$AL$5,AM$5,$C14:$AL14)</f>
        <v>108000</v>
      </c>
      <c r="AN14" s="46" t="n">
        <f aca="false">SUMIF($C$5:$AL$5,AN$5,$C14:$AL14)</f>
        <v>111240</v>
      </c>
      <c r="AO14" s="46" t="n">
        <f aca="false">SUMIF($C$5:$AL$5,AO$5,$C14:$AL14)</f>
        <v>114577.2</v>
      </c>
    </row>
    <row r="16" customFormat="false" ht="15" hidden="false" customHeight="false" outlineLevel="0" collapsed="false">
      <c r="A16" s="34" t="s">
        <v>260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</row>
    <row r="17" customFormat="false" ht="15" hidden="false" customHeight="false" outlineLevel="0" collapsed="false">
      <c r="A17" s="7" t="s">
        <v>261</v>
      </c>
      <c r="B17" s="2"/>
      <c r="C17" s="28" t="n">
        <f aca="false">Assumptions!$C$67*C9</f>
        <v>3500</v>
      </c>
      <c r="D17" s="28" t="n">
        <f aca="false">Assumptions!$C$67*D9</f>
        <v>3500</v>
      </c>
      <c r="E17" s="28" t="n">
        <f aca="false">Assumptions!$C$67*E9</f>
        <v>3500</v>
      </c>
      <c r="F17" s="28" t="n">
        <f aca="false">Assumptions!$C$67*F9</f>
        <v>3500</v>
      </c>
      <c r="G17" s="28" t="n">
        <f aca="false">Assumptions!$C$67*G9</f>
        <v>3500</v>
      </c>
      <c r="H17" s="28" t="n">
        <f aca="false">Assumptions!$C$67*H9</f>
        <v>3500</v>
      </c>
      <c r="I17" s="28" t="n">
        <f aca="false">Assumptions!$C$67*I9</f>
        <v>3500</v>
      </c>
      <c r="J17" s="28" t="n">
        <f aca="false">Assumptions!$C$67*J9</f>
        <v>3500</v>
      </c>
      <c r="K17" s="28" t="n">
        <f aca="false">Assumptions!$C$67*K9</f>
        <v>3500</v>
      </c>
      <c r="L17" s="28" t="n">
        <f aca="false">Assumptions!$C$67*L9</f>
        <v>3500</v>
      </c>
      <c r="M17" s="28" t="n">
        <f aca="false">Assumptions!$C$67*M9</f>
        <v>3500</v>
      </c>
      <c r="N17" s="28" t="n">
        <f aca="false">Assumptions!$C$67*N9</f>
        <v>3500</v>
      </c>
      <c r="O17" s="28" t="n">
        <f aca="false">Assumptions!$C$67*O9</f>
        <v>3605</v>
      </c>
      <c r="P17" s="28" t="n">
        <f aca="false">Assumptions!$C$67*P9</f>
        <v>3605</v>
      </c>
      <c r="Q17" s="28" t="n">
        <f aca="false">Assumptions!$C$67*Q9</f>
        <v>3605</v>
      </c>
      <c r="R17" s="28" t="n">
        <f aca="false">Assumptions!$C$67*R9</f>
        <v>3605</v>
      </c>
      <c r="S17" s="28" t="n">
        <f aca="false">Assumptions!$C$67*S9</f>
        <v>3605</v>
      </c>
      <c r="T17" s="28" t="n">
        <f aca="false">Assumptions!$C$67*T9</f>
        <v>3605</v>
      </c>
      <c r="U17" s="28" t="n">
        <f aca="false">Assumptions!$C$67*U9</f>
        <v>3605</v>
      </c>
      <c r="V17" s="28" t="n">
        <f aca="false">Assumptions!$C$67*V9</f>
        <v>3605</v>
      </c>
      <c r="W17" s="28" t="n">
        <f aca="false">Assumptions!$C$67*W9</f>
        <v>3605</v>
      </c>
      <c r="X17" s="28" t="n">
        <f aca="false">Assumptions!$C$67*X9</f>
        <v>3605</v>
      </c>
      <c r="Y17" s="28" t="n">
        <f aca="false">Assumptions!$C$67*Y9</f>
        <v>3605</v>
      </c>
      <c r="Z17" s="28" t="n">
        <f aca="false">Assumptions!$C$67*Z9</f>
        <v>3605</v>
      </c>
      <c r="AA17" s="28" t="n">
        <f aca="false">Assumptions!$C$67*AA9</f>
        <v>3713.15</v>
      </c>
      <c r="AB17" s="28" t="n">
        <f aca="false">Assumptions!$C$67*AB9</f>
        <v>3713.15</v>
      </c>
      <c r="AC17" s="28" t="n">
        <f aca="false">Assumptions!$C$67*AC9</f>
        <v>3713.15</v>
      </c>
      <c r="AD17" s="28" t="n">
        <f aca="false">Assumptions!$C$67*AD9</f>
        <v>3713.15</v>
      </c>
      <c r="AE17" s="28" t="n">
        <f aca="false">Assumptions!$C$67*AE9</f>
        <v>3713.15</v>
      </c>
      <c r="AF17" s="28" t="n">
        <f aca="false">Assumptions!$C$67*AF9</f>
        <v>3713.15</v>
      </c>
      <c r="AG17" s="28" t="n">
        <f aca="false">Assumptions!$C$67*AG9</f>
        <v>3713.15</v>
      </c>
      <c r="AH17" s="28" t="n">
        <f aca="false">Assumptions!$C$67*AH9</f>
        <v>3713.15</v>
      </c>
      <c r="AI17" s="28" t="n">
        <f aca="false">Assumptions!$C$67*AI9</f>
        <v>3713.15</v>
      </c>
      <c r="AJ17" s="28" t="n">
        <f aca="false">Assumptions!$C$67*AJ9</f>
        <v>3713.15</v>
      </c>
      <c r="AK17" s="28" t="n">
        <f aca="false">Assumptions!$C$67*AK9</f>
        <v>3713.15</v>
      </c>
      <c r="AL17" s="28" t="n">
        <f aca="false">Assumptions!$C$67*AL9</f>
        <v>3713.15</v>
      </c>
      <c r="AM17" s="44" t="n">
        <f aca="false">SUMIF($C$5:$AL$5,AM$5,$C17:$AL17)</f>
        <v>42000</v>
      </c>
      <c r="AN17" s="44" t="n">
        <f aca="false">SUMIF($C$5:$AL$5,AN$5,$C17:$AL17)</f>
        <v>43260</v>
      </c>
      <c r="AO17" s="44" t="n">
        <f aca="false">SUMIF($C$5:$AL$5,AO$5,$C17:$AL17)</f>
        <v>44557.8</v>
      </c>
    </row>
    <row r="18" customFormat="false" ht="15" hidden="false" customHeight="false" outlineLevel="0" collapsed="false">
      <c r="A18" s="7" t="s">
        <v>262</v>
      </c>
      <c r="B18" s="2"/>
      <c r="C18" s="28" t="n">
        <f aca="false">C7*Assumptions!$C$68</f>
        <v>1460.317248</v>
      </c>
      <c r="D18" s="28" t="n">
        <f aca="false">D7*Assumptions!$C$68</f>
        <v>1555.739136</v>
      </c>
      <c r="E18" s="28" t="n">
        <f aca="false">E7*Assumptions!$C$68</f>
        <v>2121.82848</v>
      </c>
      <c r="F18" s="28" t="n">
        <f aca="false">F7*Assumptions!$C$68</f>
        <v>2174.1696</v>
      </c>
      <c r="G18" s="28" t="n">
        <f aca="false">G7*Assumptions!$C$68</f>
        <v>2490.028128</v>
      </c>
      <c r="H18" s="28" t="n">
        <f aca="false">H7*Assumptions!$C$68</f>
        <v>2536.5312</v>
      </c>
      <c r="I18" s="28" t="n">
        <f aca="false">I7*Assumptions!$C$68</f>
        <v>2621.08224</v>
      </c>
      <c r="J18" s="28" t="n">
        <f aca="false">J7*Assumptions!$C$68</f>
        <v>2571.156864</v>
      </c>
      <c r="K18" s="28" t="n">
        <f aca="false">K7*Assumptions!$C$68</f>
        <v>2415.744</v>
      </c>
      <c r="L18" s="28" t="n">
        <f aca="false">L7*Assumptions!$C$68</f>
        <v>2496.2688</v>
      </c>
      <c r="M18" s="28" t="n">
        <f aca="false">M7*Assumptions!$C$68</f>
        <v>2367.42912</v>
      </c>
      <c r="N18" s="28" t="n">
        <f aca="false">N7*Assumptions!$C$68</f>
        <v>2546.194176</v>
      </c>
      <c r="O18" s="28" t="n">
        <f aca="false">O7*Assumptions!$C$68</f>
        <v>2383.462412928</v>
      </c>
      <c r="P18" s="28" t="n">
        <f aca="false">P7*Assumptions!$C$68</f>
        <v>2279.2393253376</v>
      </c>
      <c r="Q18" s="28" t="n">
        <f aca="false">Q7*Assumptions!$C$68</f>
        <v>2648.29156992</v>
      </c>
      <c r="R18" s="28" t="n">
        <f aca="false">R7*Assumptions!$C$68</f>
        <v>2562.8628096</v>
      </c>
      <c r="S18" s="28" t="n">
        <f aca="false">S7*Assumptions!$C$68</f>
        <v>2780.706148416</v>
      </c>
      <c r="T18" s="28" t="n">
        <f aca="false">T7*Assumptions!$C$68</f>
        <v>2691.00595008</v>
      </c>
      <c r="U18" s="28" t="n">
        <f aca="false">U7*Assumptions!$C$68</f>
        <v>2780.706148416</v>
      </c>
      <c r="V18" s="28" t="n">
        <f aca="false">V7*Assumptions!$C$68</f>
        <v>2727.7403170176</v>
      </c>
      <c r="W18" s="28" t="n">
        <f aca="false">W7*Assumptions!$C$68</f>
        <v>2562.8628096</v>
      </c>
      <c r="X18" s="28" t="n">
        <f aca="false">X7*Assumptions!$C$68</f>
        <v>2648.29156992</v>
      </c>
      <c r="Y18" s="28" t="n">
        <f aca="false">Y7*Assumptions!$C$68</f>
        <v>2511.605553408</v>
      </c>
      <c r="Z18" s="28" t="n">
        <f aca="false">Z7*Assumptions!$C$68</f>
        <v>2701.2574013184</v>
      </c>
      <c r="AA18" s="28" t="n">
        <f aca="false">AA7*Assumptions!$C$68</f>
        <v>2504.06561102216</v>
      </c>
      <c r="AB18" s="28" t="n">
        <f aca="false">AB7*Assumptions!$C$68</f>
        <v>2311.99749605487</v>
      </c>
      <c r="AC18" s="28" t="n">
        <f aca="false">AC7*Assumptions!$C$68</f>
        <v>2782.29512335795</v>
      </c>
      <c r="AD18" s="28" t="n">
        <f aca="false">AD7*Assumptions!$C$68</f>
        <v>2692.54366776576</v>
      </c>
      <c r="AE18" s="28" t="n">
        <f aca="false">AE7*Assumptions!$C$68</f>
        <v>2921.40987952585</v>
      </c>
      <c r="AF18" s="28" t="n">
        <f aca="false">AF7*Assumptions!$C$68</f>
        <v>2827.17085115405</v>
      </c>
      <c r="AG18" s="28" t="n">
        <f aca="false">AG7*Assumptions!$C$68</f>
        <v>2921.40987952585</v>
      </c>
      <c r="AH18" s="28" t="n">
        <f aca="false">AH7*Assumptions!$C$68</f>
        <v>2865.76397705869</v>
      </c>
      <c r="AI18" s="28" t="n">
        <f aca="false">AI7*Assumptions!$C$68</f>
        <v>2692.54366776576</v>
      </c>
      <c r="AJ18" s="28" t="n">
        <f aca="false">AJ7*Assumptions!$C$68</f>
        <v>2782.29512335795</v>
      </c>
      <c r="AK18" s="28" t="n">
        <f aca="false">AK7*Assumptions!$C$68</f>
        <v>2638.69279441045</v>
      </c>
      <c r="AL18" s="28" t="n">
        <f aca="false">AL7*Assumptions!$C$68</f>
        <v>2837.94102582511</v>
      </c>
      <c r="AM18" s="44" t="n">
        <f aca="false">SUMIF($C$5:$AL$5,AM$5,$C18:$AL18)</f>
        <v>27356.488992</v>
      </c>
      <c r="AN18" s="44" t="n">
        <f aca="false">SUMIF($C$5:$AL$5,AN$5,$C18:$AL18)</f>
        <v>31278.0320159616</v>
      </c>
      <c r="AO18" s="44" t="n">
        <f aca="false">SUMIF($C$5:$AL$5,AO$5,$C18:$AL18)</f>
        <v>32778.1290968244</v>
      </c>
    </row>
    <row r="19" customFormat="false" ht="15" hidden="false" customHeight="false" outlineLevel="0" collapsed="false">
      <c r="A19" s="7" t="s">
        <v>263</v>
      </c>
      <c r="B19" s="2"/>
      <c r="C19" s="28" t="n">
        <f aca="false">C7*Assumptions!$C$69</f>
        <v>2044.4441472</v>
      </c>
      <c r="D19" s="28" t="n">
        <f aca="false">D7*Assumptions!$C$69</f>
        <v>2178.0347904</v>
      </c>
      <c r="E19" s="28" t="n">
        <f aca="false">E7*Assumptions!$C$69</f>
        <v>2970.559872</v>
      </c>
      <c r="F19" s="28" t="n">
        <f aca="false">F7*Assumptions!$C$69</f>
        <v>3043.83744</v>
      </c>
      <c r="G19" s="28" t="n">
        <f aca="false">G7*Assumptions!$C$69</f>
        <v>3486.0393792</v>
      </c>
      <c r="H19" s="28" t="n">
        <f aca="false">H7*Assumptions!$C$69</f>
        <v>3551.14368</v>
      </c>
      <c r="I19" s="28" t="n">
        <f aca="false">I7*Assumptions!$C$69</f>
        <v>3669.515136</v>
      </c>
      <c r="J19" s="28" t="n">
        <f aca="false">J7*Assumptions!$C$69</f>
        <v>3599.6196096</v>
      </c>
      <c r="K19" s="28" t="n">
        <f aca="false">K7*Assumptions!$C$69</f>
        <v>3382.0416</v>
      </c>
      <c r="L19" s="28" t="n">
        <f aca="false">L7*Assumptions!$C$69</f>
        <v>3494.77632</v>
      </c>
      <c r="M19" s="28" t="n">
        <f aca="false">M7*Assumptions!$C$69</f>
        <v>3314.400768</v>
      </c>
      <c r="N19" s="28" t="n">
        <f aca="false">N7*Assumptions!$C$69</f>
        <v>3564.6718464</v>
      </c>
      <c r="O19" s="28" t="n">
        <f aca="false">O7*Assumptions!$C$69</f>
        <v>3336.8473780992</v>
      </c>
      <c r="P19" s="28" t="n">
        <f aca="false">P7*Assumptions!$C$69</f>
        <v>3190.93505547264</v>
      </c>
      <c r="Q19" s="28" t="n">
        <f aca="false">Q7*Assumptions!$C$69</f>
        <v>3707.608197888</v>
      </c>
      <c r="R19" s="28" t="n">
        <f aca="false">R7*Assumptions!$C$69</f>
        <v>3588.00793344</v>
      </c>
      <c r="S19" s="28" t="n">
        <f aca="false">S7*Assumptions!$C$69</f>
        <v>3892.9886077824</v>
      </c>
      <c r="T19" s="28" t="n">
        <f aca="false">T7*Assumptions!$C$69</f>
        <v>3767.408330112</v>
      </c>
      <c r="U19" s="28" t="n">
        <f aca="false">U7*Assumptions!$C$69</f>
        <v>3892.9886077824</v>
      </c>
      <c r="V19" s="28" t="n">
        <f aca="false">V7*Assumptions!$C$69</f>
        <v>3818.83644382464</v>
      </c>
      <c r="W19" s="28" t="n">
        <f aca="false">W7*Assumptions!$C$69</f>
        <v>3588.00793344</v>
      </c>
      <c r="X19" s="28" t="n">
        <f aca="false">X7*Assumptions!$C$69</f>
        <v>3707.608197888</v>
      </c>
      <c r="Y19" s="28" t="n">
        <f aca="false">Y7*Assumptions!$C$69</f>
        <v>3516.2477747712</v>
      </c>
      <c r="Z19" s="28" t="n">
        <f aca="false">Z7*Assumptions!$C$69</f>
        <v>3781.76036184576</v>
      </c>
      <c r="AA19" s="28" t="n">
        <f aca="false">AA7*Assumptions!$C$69</f>
        <v>3505.69185543102</v>
      </c>
      <c r="AB19" s="28" t="n">
        <f aca="false">AB7*Assumptions!$C$69</f>
        <v>3236.79649447681</v>
      </c>
      <c r="AC19" s="28" t="n">
        <f aca="false">AC7*Assumptions!$C$69</f>
        <v>3895.21317270113</v>
      </c>
      <c r="AD19" s="28" t="n">
        <f aca="false">AD7*Assumptions!$C$69</f>
        <v>3769.56113487206</v>
      </c>
      <c r="AE19" s="28" t="n">
        <f aca="false">AE7*Assumptions!$C$69</f>
        <v>4089.97383133619</v>
      </c>
      <c r="AF19" s="28" t="n">
        <f aca="false">AF7*Assumptions!$C$69</f>
        <v>3958.03919161567</v>
      </c>
      <c r="AG19" s="28" t="n">
        <f aca="false">AG7*Assumptions!$C$69</f>
        <v>4089.97383133619</v>
      </c>
      <c r="AH19" s="28" t="n">
        <f aca="false">AH7*Assumptions!$C$69</f>
        <v>4012.06956788217</v>
      </c>
      <c r="AI19" s="28" t="n">
        <f aca="false">AI7*Assumptions!$C$69</f>
        <v>3769.56113487206</v>
      </c>
      <c r="AJ19" s="28" t="n">
        <f aca="false">AJ7*Assumptions!$C$69</f>
        <v>3895.21317270113</v>
      </c>
      <c r="AK19" s="28" t="n">
        <f aca="false">AK7*Assumptions!$C$69</f>
        <v>3694.16991217462</v>
      </c>
      <c r="AL19" s="28" t="n">
        <f aca="false">AL7*Assumptions!$C$69</f>
        <v>3973.11743615516</v>
      </c>
      <c r="AM19" s="44" t="n">
        <f aca="false">SUMIF($C$5:$AL$5,AM$5,$C19:$AL19)</f>
        <v>38299.0845888</v>
      </c>
      <c r="AN19" s="44" t="n">
        <f aca="false">SUMIF($C$5:$AL$5,AN$5,$C19:$AL19)</f>
        <v>43789.2448223462</v>
      </c>
      <c r="AO19" s="44" t="n">
        <f aca="false">SUMIF($C$5:$AL$5,AO$5,$C19:$AL19)</f>
        <v>45889.3807355542</v>
      </c>
    </row>
    <row r="20" customFormat="false" ht="15" hidden="false" customHeight="false" outlineLevel="0" collapsed="false">
      <c r="A20" s="7" t="s">
        <v>264</v>
      </c>
      <c r="B20" s="2"/>
      <c r="C20" s="28" t="n">
        <f aca="false">C7*Assumptions!$C$70</f>
        <v>1095.237936</v>
      </c>
      <c r="D20" s="28" t="n">
        <f aca="false">D7*Assumptions!$C$70</f>
        <v>1166.804352</v>
      </c>
      <c r="E20" s="28" t="n">
        <f aca="false">E7*Assumptions!$C$70</f>
        <v>1591.37136</v>
      </c>
      <c r="F20" s="28" t="n">
        <f aca="false">F7*Assumptions!$C$70</f>
        <v>1630.6272</v>
      </c>
      <c r="G20" s="28" t="n">
        <f aca="false">G7*Assumptions!$C$70</f>
        <v>1867.521096</v>
      </c>
      <c r="H20" s="28" t="n">
        <f aca="false">H7*Assumptions!$C$70</f>
        <v>1902.3984</v>
      </c>
      <c r="I20" s="28" t="n">
        <f aca="false">I7*Assumptions!$C$70</f>
        <v>1965.81168</v>
      </c>
      <c r="J20" s="28" t="n">
        <f aca="false">J7*Assumptions!$C$70</f>
        <v>1928.367648</v>
      </c>
      <c r="K20" s="28" t="n">
        <f aca="false">K7*Assumptions!$C$70</f>
        <v>1811.808</v>
      </c>
      <c r="L20" s="28" t="n">
        <f aca="false">L7*Assumptions!$C$70</f>
        <v>1872.2016</v>
      </c>
      <c r="M20" s="28" t="n">
        <f aca="false">M7*Assumptions!$C$70</f>
        <v>1775.57184</v>
      </c>
      <c r="N20" s="28" t="n">
        <f aca="false">N7*Assumptions!$C$70</f>
        <v>1909.645632</v>
      </c>
      <c r="O20" s="28" t="n">
        <f aca="false">O7*Assumptions!$C$70</f>
        <v>1787.596809696</v>
      </c>
      <c r="P20" s="28" t="n">
        <f aca="false">P7*Assumptions!$C$70</f>
        <v>1709.4294940032</v>
      </c>
      <c r="Q20" s="28" t="n">
        <f aca="false">Q7*Assumptions!$C$70</f>
        <v>1986.21867744</v>
      </c>
      <c r="R20" s="28" t="n">
        <f aca="false">R7*Assumptions!$C$70</f>
        <v>1922.1471072</v>
      </c>
      <c r="S20" s="28" t="n">
        <f aca="false">S7*Assumptions!$C$70</f>
        <v>2085.529611312</v>
      </c>
      <c r="T20" s="28" t="n">
        <f aca="false">T7*Assumptions!$C$70</f>
        <v>2018.25446256</v>
      </c>
      <c r="U20" s="28" t="n">
        <f aca="false">U7*Assumptions!$C$70</f>
        <v>2085.529611312</v>
      </c>
      <c r="V20" s="28" t="n">
        <f aca="false">V7*Assumptions!$C$70</f>
        <v>2045.8052377632</v>
      </c>
      <c r="W20" s="28" t="n">
        <f aca="false">W7*Assumptions!$C$70</f>
        <v>1922.1471072</v>
      </c>
      <c r="X20" s="28" t="n">
        <f aca="false">X7*Assumptions!$C$70</f>
        <v>1986.21867744</v>
      </c>
      <c r="Y20" s="28" t="n">
        <f aca="false">Y7*Assumptions!$C$70</f>
        <v>1883.704165056</v>
      </c>
      <c r="Z20" s="28" t="n">
        <f aca="false">Z7*Assumptions!$C$70</f>
        <v>2025.9430509888</v>
      </c>
      <c r="AA20" s="28" t="n">
        <f aca="false">AA7*Assumptions!$C$70</f>
        <v>1878.04920826662</v>
      </c>
      <c r="AB20" s="28" t="n">
        <f aca="false">AB7*Assumptions!$C$70</f>
        <v>1733.99812204115</v>
      </c>
      <c r="AC20" s="28" t="n">
        <f aca="false">AC7*Assumptions!$C$70</f>
        <v>2086.72134251846</v>
      </c>
      <c r="AD20" s="28" t="n">
        <f aca="false">AD7*Assumptions!$C$70</f>
        <v>2019.40775082432</v>
      </c>
      <c r="AE20" s="28" t="n">
        <f aca="false">AE7*Assumptions!$C$70</f>
        <v>2191.05740964439</v>
      </c>
      <c r="AF20" s="28" t="n">
        <f aca="false">AF7*Assumptions!$C$70</f>
        <v>2120.37813836554</v>
      </c>
      <c r="AG20" s="28" t="n">
        <f aca="false">AG7*Assumptions!$C$70</f>
        <v>2191.05740964439</v>
      </c>
      <c r="AH20" s="28" t="n">
        <f aca="false">AH7*Assumptions!$C$70</f>
        <v>2149.32298279402</v>
      </c>
      <c r="AI20" s="28" t="n">
        <f aca="false">AI7*Assumptions!$C$70</f>
        <v>2019.40775082432</v>
      </c>
      <c r="AJ20" s="28" t="n">
        <f aca="false">AJ7*Assumptions!$C$70</f>
        <v>2086.72134251846</v>
      </c>
      <c r="AK20" s="28" t="n">
        <f aca="false">AK7*Assumptions!$C$70</f>
        <v>1979.01959580783</v>
      </c>
      <c r="AL20" s="28" t="n">
        <f aca="false">AL7*Assumptions!$C$70</f>
        <v>2128.45576936883</v>
      </c>
      <c r="AM20" s="44" t="n">
        <f aca="false">SUMIF($C$5:$AL$5,AM$5,$C20:$AL20)</f>
        <v>20517.366744</v>
      </c>
      <c r="AN20" s="44" t="n">
        <f aca="false">SUMIF($C$5:$AL$5,AN$5,$C20:$AL20)</f>
        <v>23458.5240119712</v>
      </c>
      <c r="AO20" s="44" t="n">
        <f aca="false">SUMIF($C$5:$AL$5,AO$5,$C20:$AL20)</f>
        <v>24583.5968226183</v>
      </c>
    </row>
    <row r="21" customFormat="false" ht="15" hidden="false" customHeight="false" outlineLevel="0" collapsed="false">
      <c r="A21" s="7" t="s">
        <v>265</v>
      </c>
      <c r="B21" s="2"/>
      <c r="C21" s="28" t="n">
        <f aca="false">C7*Assumptions!$C$71</f>
        <v>1460.317248</v>
      </c>
      <c r="D21" s="28" t="n">
        <f aca="false">D7*Assumptions!$C$71</f>
        <v>1555.739136</v>
      </c>
      <c r="E21" s="28" t="n">
        <f aca="false">E7*Assumptions!$C$71</f>
        <v>2121.82848</v>
      </c>
      <c r="F21" s="28" t="n">
        <f aca="false">F7*Assumptions!$C$71</f>
        <v>2174.1696</v>
      </c>
      <c r="G21" s="28" t="n">
        <f aca="false">G7*Assumptions!$C$71</f>
        <v>2490.028128</v>
      </c>
      <c r="H21" s="28" t="n">
        <f aca="false">H7*Assumptions!$C$71</f>
        <v>2536.5312</v>
      </c>
      <c r="I21" s="28" t="n">
        <f aca="false">I7*Assumptions!$C$71</f>
        <v>2621.08224</v>
      </c>
      <c r="J21" s="28" t="n">
        <f aca="false">J7*Assumptions!$C$71</f>
        <v>2571.156864</v>
      </c>
      <c r="K21" s="28" t="n">
        <f aca="false">K7*Assumptions!$C$71</f>
        <v>2415.744</v>
      </c>
      <c r="L21" s="28" t="n">
        <f aca="false">L7*Assumptions!$C$71</f>
        <v>2496.2688</v>
      </c>
      <c r="M21" s="28" t="n">
        <f aca="false">M7*Assumptions!$C$71</f>
        <v>2367.42912</v>
      </c>
      <c r="N21" s="28" t="n">
        <f aca="false">N7*Assumptions!$C$71</f>
        <v>2546.194176</v>
      </c>
      <c r="O21" s="28" t="n">
        <f aca="false">O7*Assumptions!$C$71</f>
        <v>2383.462412928</v>
      </c>
      <c r="P21" s="28" t="n">
        <f aca="false">P7*Assumptions!$C$71</f>
        <v>2279.2393253376</v>
      </c>
      <c r="Q21" s="28" t="n">
        <f aca="false">Q7*Assumptions!$C$71</f>
        <v>2648.29156992</v>
      </c>
      <c r="R21" s="28" t="n">
        <f aca="false">R7*Assumptions!$C$71</f>
        <v>2562.8628096</v>
      </c>
      <c r="S21" s="28" t="n">
        <f aca="false">S7*Assumptions!$C$71</f>
        <v>2780.706148416</v>
      </c>
      <c r="T21" s="28" t="n">
        <f aca="false">T7*Assumptions!$C$71</f>
        <v>2691.00595008</v>
      </c>
      <c r="U21" s="28" t="n">
        <f aca="false">U7*Assumptions!$C$71</f>
        <v>2780.706148416</v>
      </c>
      <c r="V21" s="28" t="n">
        <f aca="false">V7*Assumptions!$C$71</f>
        <v>2727.7403170176</v>
      </c>
      <c r="W21" s="28" t="n">
        <f aca="false">W7*Assumptions!$C$71</f>
        <v>2562.8628096</v>
      </c>
      <c r="X21" s="28" t="n">
        <f aca="false">X7*Assumptions!$C$71</f>
        <v>2648.29156992</v>
      </c>
      <c r="Y21" s="28" t="n">
        <f aca="false">Y7*Assumptions!$C$71</f>
        <v>2511.605553408</v>
      </c>
      <c r="Z21" s="28" t="n">
        <f aca="false">Z7*Assumptions!$C$71</f>
        <v>2701.2574013184</v>
      </c>
      <c r="AA21" s="28" t="n">
        <f aca="false">AA7*Assumptions!$C$71</f>
        <v>2504.06561102216</v>
      </c>
      <c r="AB21" s="28" t="n">
        <f aca="false">AB7*Assumptions!$C$71</f>
        <v>2311.99749605487</v>
      </c>
      <c r="AC21" s="28" t="n">
        <f aca="false">AC7*Assumptions!$C$71</f>
        <v>2782.29512335795</v>
      </c>
      <c r="AD21" s="28" t="n">
        <f aca="false">AD7*Assumptions!$C$71</f>
        <v>2692.54366776576</v>
      </c>
      <c r="AE21" s="28" t="n">
        <f aca="false">AE7*Assumptions!$C$71</f>
        <v>2921.40987952585</v>
      </c>
      <c r="AF21" s="28" t="n">
        <f aca="false">AF7*Assumptions!$C$71</f>
        <v>2827.17085115405</v>
      </c>
      <c r="AG21" s="28" t="n">
        <f aca="false">AG7*Assumptions!$C$71</f>
        <v>2921.40987952585</v>
      </c>
      <c r="AH21" s="28" t="n">
        <f aca="false">AH7*Assumptions!$C$71</f>
        <v>2865.76397705869</v>
      </c>
      <c r="AI21" s="28" t="n">
        <f aca="false">AI7*Assumptions!$C$71</f>
        <v>2692.54366776576</v>
      </c>
      <c r="AJ21" s="28" t="n">
        <f aca="false">AJ7*Assumptions!$C$71</f>
        <v>2782.29512335795</v>
      </c>
      <c r="AK21" s="28" t="n">
        <f aca="false">AK7*Assumptions!$C$71</f>
        <v>2638.69279441045</v>
      </c>
      <c r="AL21" s="28" t="n">
        <f aca="false">AL7*Assumptions!$C$71</f>
        <v>2837.94102582511</v>
      </c>
      <c r="AM21" s="44" t="n">
        <f aca="false">SUMIF($C$5:$AL$5,AM$5,$C21:$AL21)</f>
        <v>27356.488992</v>
      </c>
      <c r="AN21" s="44" t="n">
        <f aca="false">SUMIF($C$5:$AL$5,AN$5,$C21:$AL21)</f>
        <v>31278.0320159616</v>
      </c>
      <c r="AO21" s="44" t="n">
        <f aca="false">SUMIF($C$5:$AL$5,AO$5,$C21:$AL21)</f>
        <v>32778.1290968244</v>
      </c>
    </row>
    <row r="22" customFormat="false" ht="15" hidden="false" customHeight="false" outlineLevel="0" collapsed="false">
      <c r="A22" s="7" t="s">
        <v>266</v>
      </c>
      <c r="B22" s="2"/>
      <c r="C22" s="28" t="n">
        <f aca="false">Assumptions!$C$72*C9</f>
        <v>1200</v>
      </c>
      <c r="D22" s="28" t="n">
        <f aca="false">Assumptions!$C$72*D9</f>
        <v>1200</v>
      </c>
      <c r="E22" s="28" t="n">
        <f aca="false">Assumptions!$C$72*E9</f>
        <v>1200</v>
      </c>
      <c r="F22" s="28" t="n">
        <f aca="false">Assumptions!$C$72*F9</f>
        <v>1200</v>
      </c>
      <c r="G22" s="28" t="n">
        <f aca="false">Assumptions!$C$72*G9</f>
        <v>1200</v>
      </c>
      <c r="H22" s="28" t="n">
        <f aca="false">Assumptions!$C$72*H9</f>
        <v>1200</v>
      </c>
      <c r="I22" s="28" t="n">
        <f aca="false">Assumptions!$C$72*I9</f>
        <v>1200</v>
      </c>
      <c r="J22" s="28" t="n">
        <f aca="false">Assumptions!$C$72*J9</f>
        <v>1200</v>
      </c>
      <c r="K22" s="28" t="n">
        <f aca="false">Assumptions!$C$72*K9</f>
        <v>1200</v>
      </c>
      <c r="L22" s="28" t="n">
        <f aca="false">Assumptions!$C$72*L9</f>
        <v>1200</v>
      </c>
      <c r="M22" s="28" t="n">
        <f aca="false">Assumptions!$C$72*M9</f>
        <v>1200</v>
      </c>
      <c r="N22" s="28" t="n">
        <f aca="false">Assumptions!$C$72*N9</f>
        <v>1200</v>
      </c>
      <c r="O22" s="28" t="n">
        <f aca="false">Assumptions!$C$72*O9</f>
        <v>1236</v>
      </c>
      <c r="P22" s="28" t="n">
        <f aca="false">Assumptions!$C$72*P9</f>
        <v>1236</v>
      </c>
      <c r="Q22" s="28" t="n">
        <f aca="false">Assumptions!$C$72*Q9</f>
        <v>1236</v>
      </c>
      <c r="R22" s="28" t="n">
        <f aca="false">Assumptions!$C$72*R9</f>
        <v>1236</v>
      </c>
      <c r="S22" s="28" t="n">
        <f aca="false">Assumptions!$C$72*S9</f>
        <v>1236</v>
      </c>
      <c r="T22" s="28" t="n">
        <f aca="false">Assumptions!$C$72*T9</f>
        <v>1236</v>
      </c>
      <c r="U22" s="28" t="n">
        <f aca="false">Assumptions!$C$72*U9</f>
        <v>1236</v>
      </c>
      <c r="V22" s="28" t="n">
        <f aca="false">Assumptions!$C$72*V9</f>
        <v>1236</v>
      </c>
      <c r="W22" s="28" t="n">
        <f aca="false">Assumptions!$C$72*W9</f>
        <v>1236</v>
      </c>
      <c r="X22" s="28" t="n">
        <f aca="false">Assumptions!$C$72*X9</f>
        <v>1236</v>
      </c>
      <c r="Y22" s="28" t="n">
        <f aca="false">Assumptions!$C$72*Y9</f>
        <v>1236</v>
      </c>
      <c r="Z22" s="28" t="n">
        <f aca="false">Assumptions!$C$72*Z9</f>
        <v>1236</v>
      </c>
      <c r="AA22" s="28" t="n">
        <f aca="false">Assumptions!$C$72*AA9</f>
        <v>1273.08</v>
      </c>
      <c r="AB22" s="28" t="n">
        <f aca="false">Assumptions!$C$72*AB9</f>
        <v>1273.08</v>
      </c>
      <c r="AC22" s="28" t="n">
        <f aca="false">Assumptions!$C$72*AC9</f>
        <v>1273.08</v>
      </c>
      <c r="AD22" s="28" t="n">
        <f aca="false">Assumptions!$C$72*AD9</f>
        <v>1273.08</v>
      </c>
      <c r="AE22" s="28" t="n">
        <f aca="false">Assumptions!$C$72*AE9</f>
        <v>1273.08</v>
      </c>
      <c r="AF22" s="28" t="n">
        <f aca="false">Assumptions!$C$72*AF9</f>
        <v>1273.08</v>
      </c>
      <c r="AG22" s="28" t="n">
        <f aca="false">Assumptions!$C$72*AG9</f>
        <v>1273.08</v>
      </c>
      <c r="AH22" s="28" t="n">
        <f aca="false">Assumptions!$C$72*AH9</f>
        <v>1273.08</v>
      </c>
      <c r="AI22" s="28" t="n">
        <f aca="false">Assumptions!$C$72*AI9</f>
        <v>1273.08</v>
      </c>
      <c r="AJ22" s="28" t="n">
        <f aca="false">Assumptions!$C$72*AJ9</f>
        <v>1273.08</v>
      </c>
      <c r="AK22" s="28" t="n">
        <f aca="false">Assumptions!$C$72*AK9</f>
        <v>1273.08</v>
      </c>
      <c r="AL22" s="28" t="n">
        <f aca="false">Assumptions!$C$72*AL9</f>
        <v>1273.08</v>
      </c>
      <c r="AM22" s="44" t="n">
        <f aca="false">SUMIF($C$5:$AL$5,AM$5,$C22:$AL22)</f>
        <v>14400</v>
      </c>
      <c r="AN22" s="44" t="n">
        <f aca="false">SUMIF($C$5:$AL$5,AN$5,$C22:$AL22)</f>
        <v>14832</v>
      </c>
      <c r="AO22" s="44" t="n">
        <f aca="false">SUMIF($C$5:$AL$5,AO$5,$C22:$AL22)</f>
        <v>15276.96</v>
      </c>
    </row>
    <row r="23" customFormat="false" ht="15" hidden="false" customHeight="false" outlineLevel="0" collapsed="false">
      <c r="A23" s="7" t="s">
        <v>267</v>
      </c>
      <c r="B23" s="2"/>
      <c r="C23" s="28" t="n">
        <f aca="false">Assumptions!$C$73*C9</f>
        <v>600</v>
      </c>
      <c r="D23" s="28" t="n">
        <f aca="false">Assumptions!$C$73*D9</f>
        <v>600</v>
      </c>
      <c r="E23" s="28" t="n">
        <f aca="false">Assumptions!$C$73*E9</f>
        <v>600</v>
      </c>
      <c r="F23" s="28" t="n">
        <f aca="false">Assumptions!$C$73*F9</f>
        <v>600</v>
      </c>
      <c r="G23" s="28" t="n">
        <f aca="false">Assumptions!$C$73*G9</f>
        <v>600</v>
      </c>
      <c r="H23" s="28" t="n">
        <f aca="false">Assumptions!$C$73*H9</f>
        <v>600</v>
      </c>
      <c r="I23" s="28" t="n">
        <f aca="false">Assumptions!$C$73*I9</f>
        <v>600</v>
      </c>
      <c r="J23" s="28" t="n">
        <f aca="false">Assumptions!$C$73*J9</f>
        <v>600</v>
      </c>
      <c r="K23" s="28" t="n">
        <f aca="false">Assumptions!$C$73*K9</f>
        <v>600</v>
      </c>
      <c r="L23" s="28" t="n">
        <f aca="false">Assumptions!$C$73*L9</f>
        <v>600</v>
      </c>
      <c r="M23" s="28" t="n">
        <f aca="false">Assumptions!$C$73*M9</f>
        <v>600</v>
      </c>
      <c r="N23" s="28" t="n">
        <f aca="false">Assumptions!$C$73*N9</f>
        <v>600</v>
      </c>
      <c r="O23" s="28" t="n">
        <f aca="false">Assumptions!$C$73*O9</f>
        <v>618</v>
      </c>
      <c r="P23" s="28" t="n">
        <f aca="false">Assumptions!$C$73*P9</f>
        <v>618</v>
      </c>
      <c r="Q23" s="28" t="n">
        <f aca="false">Assumptions!$C$73*Q9</f>
        <v>618</v>
      </c>
      <c r="R23" s="28" t="n">
        <f aca="false">Assumptions!$C$73*R9</f>
        <v>618</v>
      </c>
      <c r="S23" s="28" t="n">
        <f aca="false">Assumptions!$C$73*S9</f>
        <v>618</v>
      </c>
      <c r="T23" s="28" t="n">
        <f aca="false">Assumptions!$C$73*T9</f>
        <v>618</v>
      </c>
      <c r="U23" s="28" t="n">
        <f aca="false">Assumptions!$C$73*U9</f>
        <v>618</v>
      </c>
      <c r="V23" s="28" t="n">
        <f aca="false">Assumptions!$C$73*V9</f>
        <v>618</v>
      </c>
      <c r="W23" s="28" t="n">
        <f aca="false">Assumptions!$C$73*W9</f>
        <v>618</v>
      </c>
      <c r="X23" s="28" t="n">
        <f aca="false">Assumptions!$C$73*X9</f>
        <v>618</v>
      </c>
      <c r="Y23" s="28" t="n">
        <f aca="false">Assumptions!$C$73*Y9</f>
        <v>618</v>
      </c>
      <c r="Z23" s="28" t="n">
        <f aca="false">Assumptions!$C$73*Z9</f>
        <v>618</v>
      </c>
      <c r="AA23" s="28" t="n">
        <f aca="false">Assumptions!$C$73*AA9</f>
        <v>636.54</v>
      </c>
      <c r="AB23" s="28" t="n">
        <f aca="false">Assumptions!$C$73*AB9</f>
        <v>636.54</v>
      </c>
      <c r="AC23" s="28" t="n">
        <f aca="false">Assumptions!$C$73*AC9</f>
        <v>636.54</v>
      </c>
      <c r="AD23" s="28" t="n">
        <f aca="false">Assumptions!$C$73*AD9</f>
        <v>636.54</v>
      </c>
      <c r="AE23" s="28" t="n">
        <f aca="false">Assumptions!$C$73*AE9</f>
        <v>636.54</v>
      </c>
      <c r="AF23" s="28" t="n">
        <f aca="false">Assumptions!$C$73*AF9</f>
        <v>636.54</v>
      </c>
      <c r="AG23" s="28" t="n">
        <f aca="false">Assumptions!$C$73*AG9</f>
        <v>636.54</v>
      </c>
      <c r="AH23" s="28" t="n">
        <f aca="false">Assumptions!$C$73*AH9</f>
        <v>636.54</v>
      </c>
      <c r="AI23" s="28" t="n">
        <f aca="false">Assumptions!$C$73*AI9</f>
        <v>636.54</v>
      </c>
      <c r="AJ23" s="28" t="n">
        <f aca="false">Assumptions!$C$73*AJ9</f>
        <v>636.54</v>
      </c>
      <c r="AK23" s="28" t="n">
        <f aca="false">Assumptions!$C$73*AK9</f>
        <v>636.54</v>
      </c>
      <c r="AL23" s="28" t="n">
        <f aca="false">Assumptions!$C$73*AL9</f>
        <v>636.54</v>
      </c>
      <c r="AM23" s="44" t="n">
        <f aca="false">SUMIF($C$5:$AL$5,AM$5,$C23:$AL23)</f>
        <v>7200</v>
      </c>
      <c r="AN23" s="44" t="n">
        <f aca="false">SUMIF($C$5:$AL$5,AN$5,$C23:$AL23)</f>
        <v>7416</v>
      </c>
      <c r="AO23" s="44" t="n">
        <f aca="false">SUMIF($C$5:$AL$5,AO$5,$C23:$AL23)</f>
        <v>7638.48</v>
      </c>
    </row>
    <row r="24" customFormat="false" ht="15" hidden="false" customHeight="false" outlineLevel="0" collapsed="false">
      <c r="A24" s="7" t="s">
        <v>268</v>
      </c>
      <c r="B24" s="2"/>
      <c r="C24" s="28" t="n">
        <f aca="false">Assumptions!$C$74*C9</f>
        <v>800</v>
      </c>
      <c r="D24" s="28" t="n">
        <f aca="false">Assumptions!$C$74*D9</f>
        <v>800</v>
      </c>
      <c r="E24" s="28" t="n">
        <f aca="false">Assumptions!$C$74*E9</f>
        <v>800</v>
      </c>
      <c r="F24" s="28" t="n">
        <f aca="false">Assumptions!$C$74*F9</f>
        <v>800</v>
      </c>
      <c r="G24" s="28" t="n">
        <f aca="false">Assumptions!$C$74*G9</f>
        <v>800</v>
      </c>
      <c r="H24" s="28" t="n">
        <f aca="false">Assumptions!$C$74*H9</f>
        <v>800</v>
      </c>
      <c r="I24" s="28" t="n">
        <f aca="false">Assumptions!$C$74*I9</f>
        <v>800</v>
      </c>
      <c r="J24" s="28" t="n">
        <f aca="false">Assumptions!$C$74*J9</f>
        <v>800</v>
      </c>
      <c r="K24" s="28" t="n">
        <f aca="false">Assumptions!$C$74*K9</f>
        <v>800</v>
      </c>
      <c r="L24" s="28" t="n">
        <f aca="false">Assumptions!$C$74*L9</f>
        <v>800</v>
      </c>
      <c r="M24" s="28" t="n">
        <f aca="false">Assumptions!$C$74*M9</f>
        <v>800</v>
      </c>
      <c r="N24" s="28" t="n">
        <f aca="false">Assumptions!$C$74*N9</f>
        <v>800</v>
      </c>
      <c r="O24" s="28" t="n">
        <f aca="false">Assumptions!$C$74*O9</f>
        <v>824</v>
      </c>
      <c r="P24" s="28" t="n">
        <f aca="false">Assumptions!$C$74*P9</f>
        <v>824</v>
      </c>
      <c r="Q24" s="28" t="n">
        <f aca="false">Assumptions!$C$74*Q9</f>
        <v>824</v>
      </c>
      <c r="R24" s="28" t="n">
        <f aca="false">Assumptions!$C$74*R9</f>
        <v>824</v>
      </c>
      <c r="S24" s="28" t="n">
        <f aca="false">Assumptions!$C$74*S9</f>
        <v>824</v>
      </c>
      <c r="T24" s="28" t="n">
        <f aca="false">Assumptions!$C$74*T9</f>
        <v>824</v>
      </c>
      <c r="U24" s="28" t="n">
        <f aca="false">Assumptions!$C$74*U9</f>
        <v>824</v>
      </c>
      <c r="V24" s="28" t="n">
        <f aca="false">Assumptions!$C$74*V9</f>
        <v>824</v>
      </c>
      <c r="W24" s="28" t="n">
        <f aca="false">Assumptions!$C$74*W9</f>
        <v>824</v>
      </c>
      <c r="X24" s="28" t="n">
        <f aca="false">Assumptions!$C$74*X9</f>
        <v>824</v>
      </c>
      <c r="Y24" s="28" t="n">
        <f aca="false">Assumptions!$C$74*Y9</f>
        <v>824</v>
      </c>
      <c r="Z24" s="28" t="n">
        <f aca="false">Assumptions!$C$74*Z9</f>
        <v>824</v>
      </c>
      <c r="AA24" s="28" t="n">
        <f aca="false">Assumptions!$C$74*AA9</f>
        <v>848.72</v>
      </c>
      <c r="AB24" s="28" t="n">
        <f aca="false">Assumptions!$C$74*AB9</f>
        <v>848.72</v>
      </c>
      <c r="AC24" s="28" t="n">
        <f aca="false">Assumptions!$C$74*AC9</f>
        <v>848.72</v>
      </c>
      <c r="AD24" s="28" t="n">
        <f aca="false">Assumptions!$C$74*AD9</f>
        <v>848.72</v>
      </c>
      <c r="AE24" s="28" t="n">
        <f aca="false">Assumptions!$C$74*AE9</f>
        <v>848.72</v>
      </c>
      <c r="AF24" s="28" t="n">
        <f aca="false">Assumptions!$C$74*AF9</f>
        <v>848.72</v>
      </c>
      <c r="AG24" s="28" t="n">
        <f aca="false">Assumptions!$C$74*AG9</f>
        <v>848.72</v>
      </c>
      <c r="AH24" s="28" t="n">
        <f aca="false">Assumptions!$C$74*AH9</f>
        <v>848.72</v>
      </c>
      <c r="AI24" s="28" t="n">
        <f aca="false">Assumptions!$C$74*AI9</f>
        <v>848.72</v>
      </c>
      <c r="AJ24" s="28" t="n">
        <f aca="false">Assumptions!$C$74*AJ9</f>
        <v>848.72</v>
      </c>
      <c r="AK24" s="28" t="n">
        <f aca="false">Assumptions!$C$74*AK9</f>
        <v>848.72</v>
      </c>
      <c r="AL24" s="28" t="n">
        <f aca="false">Assumptions!$C$74*AL9</f>
        <v>848.72</v>
      </c>
      <c r="AM24" s="44" t="n">
        <f aca="false">SUMIF($C$5:$AL$5,AM$5,$C24:$AL24)</f>
        <v>9600</v>
      </c>
      <c r="AN24" s="44" t="n">
        <f aca="false">SUMIF($C$5:$AL$5,AN$5,$C24:$AL24)</f>
        <v>9888</v>
      </c>
      <c r="AO24" s="44" t="n">
        <f aca="false">SUMIF($C$5:$AL$5,AO$5,$C24:$AL24)</f>
        <v>10184.64</v>
      </c>
    </row>
    <row r="25" customFormat="false" ht="15" hidden="false" customHeight="false" outlineLevel="0" collapsed="false">
      <c r="A25" s="7" t="s">
        <v>269</v>
      </c>
      <c r="B25" s="2"/>
      <c r="C25" s="28" t="n">
        <f aca="false">Assumptions!$C$75*C9</f>
        <v>150</v>
      </c>
      <c r="D25" s="28" t="n">
        <f aca="false">Assumptions!$C$75*D9</f>
        <v>150</v>
      </c>
      <c r="E25" s="28" t="n">
        <f aca="false">Assumptions!$C$75*E9</f>
        <v>150</v>
      </c>
      <c r="F25" s="28" t="n">
        <f aca="false">Assumptions!$C$75*F9</f>
        <v>150</v>
      </c>
      <c r="G25" s="28" t="n">
        <f aca="false">Assumptions!$C$75*G9</f>
        <v>150</v>
      </c>
      <c r="H25" s="28" t="n">
        <f aca="false">Assumptions!$C$75*H9</f>
        <v>150</v>
      </c>
      <c r="I25" s="28" t="n">
        <f aca="false">Assumptions!$C$75*I9</f>
        <v>150</v>
      </c>
      <c r="J25" s="28" t="n">
        <f aca="false">Assumptions!$C$75*J9</f>
        <v>150</v>
      </c>
      <c r="K25" s="28" t="n">
        <f aca="false">Assumptions!$C$75*K9</f>
        <v>150</v>
      </c>
      <c r="L25" s="28" t="n">
        <f aca="false">Assumptions!$C$75*L9</f>
        <v>150</v>
      </c>
      <c r="M25" s="28" t="n">
        <f aca="false">Assumptions!$C$75*M9</f>
        <v>150</v>
      </c>
      <c r="N25" s="28" t="n">
        <f aca="false">Assumptions!$C$75*N9</f>
        <v>150</v>
      </c>
      <c r="O25" s="28" t="n">
        <f aca="false">Assumptions!$C$75*O9</f>
        <v>154.5</v>
      </c>
      <c r="P25" s="28" t="n">
        <f aca="false">Assumptions!$C$75*P9</f>
        <v>154.5</v>
      </c>
      <c r="Q25" s="28" t="n">
        <f aca="false">Assumptions!$C$75*Q9</f>
        <v>154.5</v>
      </c>
      <c r="R25" s="28" t="n">
        <f aca="false">Assumptions!$C$75*R9</f>
        <v>154.5</v>
      </c>
      <c r="S25" s="28" t="n">
        <f aca="false">Assumptions!$C$75*S9</f>
        <v>154.5</v>
      </c>
      <c r="T25" s="28" t="n">
        <f aca="false">Assumptions!$C$75*T9</f>
        <v>154.5</v>
      </c>
      <c r="U25" s="28" t="n">
        <f aca="false">Assumptions!$C$75*U9</f>
        <v>154.5</v>
      </c>
      <c r="V25" s="28" t="n">
        <f aca="false">Assumptions!$C$75*V9</f>
        <v>154.5</v>
      </c>
      <c r="W25" s="28" t="n">
        <f aca="false">Assumptions!$C$75*W9</f>
        <v>154.5</v>
      </c>
      <c r="X25" s="28" t="n">
        <f aca="false">Assumptions!$C$75*X9</f>
        <v>154.5</v>
      </c>
      <c r="Y25" s="28" t="n">
        <f aca="false">Assumptions!$C$75*Y9</f>
        <v>154.5</v>
      </c>
      <c r="Z25" s="28" t="n">
        <f aca="false">Assumptions!$C$75*Z9</f>
        <v>154.5</v>
      </c>
      <c r="AA25" s="28" t="n">
        <f aca="false">Assumptions!$C$75*AA9</f>
        <v>159.135</v>
      </c>
      <c r="AB25" s="28" t="n">
        <f aca="false">Assumptions!$C$75*AB9</f>
        <v>159.135</v>
      </c>
      <c r="AC25" s="28" t="n">
        <f aca="false">Assumptions!$C$75*AC9</f>
        <v>159.135</v>
      </c>
      <c r="AD25" s="28" t="n">
        <f aca="false">Assumptions!$C$75*AD9</f>
        <v>159.135</v>
      </c>
      <c r="AE25" s="28" t="n">
        <f aca="false">Assumptions!$C$75*AE9</f>
        <v>159.135</v>
      </c>
      <c r="AF25" s="28" t="n">
        <f aca="false">Assumptions!$C$75*AF9</f>
        <v>159.135</v>
      </c>
      <c r="AG25" s="28" t="n">
        <f aca="false">Assumptions!$C$75*AG9</f>
        <v>159.135</v>
      </c>
      <c r="AH25" s="28" t="n">
        <f aca="false">Assumptions!$C$75*AH9</f>
        <v>159.135</v>
      </c>
      <c r="AI25" s="28" t="n">
        <f aca="false">Assumptions!$C$75*AI9</f>
        <v>159.135</v>
      </c>
      <c r="AJ25" s="28" t="n">
        <f aca="false">Assumptions!$C$75*AJ9</f>
        <v>159.135</v>
      </c>
      <c r="AK25" s="28" t="n">
        <f aca="false">Assumptions!$C$75*AK9</f>
        <v>159.135</v>
      </c>
      <c r="AL25" s="28" t="n">
        <f aca="false">Assumptions!$C$75*AL9</f>
        <v>159.135</v>
      </c>
      <c r="AM25" s="44" t="n">
        <f aca="false">SUMIF($C$5:$AL$5,AM$5,$C25:$AL25)</f>
        <v>1800</v>
      </c>
      <c r="AN25" s="44" t="n">
        <f aca="false">SUMIF($C$5:$AL$5,AN$5,$C25:$AL25)</f>
        <v>1854</v>
      </c>
      <c r="AO25" s="44" t="n">
        <f aca="false">SUMIF($C$5:$AL$5,AO$5,$C25:$AL25)</f>
        <v>1909.62</v>
      </c>
    </row>
    <row r="26" customFormat="false" ht="15" hidden="false" customHeight="false" outlineLevel="0" collapsed="false">
      <c r="A26" s="7" t="s">
        <v>260</v>
      </c>
      <c r="B26" s="2"/>
      <c r="C26" s="28" t="n">
        <f aca="false">Assumptions!$C$76*C9</f>
        <v>800</v>
      </c>
      <c r="D26" s="28" t="n">
        <f aca="false">Assumptions!$C$76*D9</f>
        <v>800</v>
      </c>
      <c r="E26" s="28" t="n">
        <f aca="false">Assumptions!$C$76*E9</f>
        <v>800</v>
      </c>
      <c r="F26" s="28" t="n">
        <f aca="false">Assumptions!$C$76*F9</f>
        <v>800</v>
      </c>
      <c r="G26" s="28" t="n">
        <f aca="false">Assumptions!$C$76*G9</f>
        <v>800</v>
      </c>
      <c r="H26" s="28" t="n">
        <f aca="false">Assumptions!$C$76*H9</f>
        <v>800</v>
      </c>
      <c r="I26" s="28" t="n">
        <f aca="false">Assumptions!$C$76*I9</f>
        <v>800</v>
      </c>
      <c r="J26" s="28" t="n">
        <f aca="false">Assumptions!$C$76*J9</f>
        <v>800</v>
      </c>
      <c r="K26" s="28" t="n">
        <f aca="false">Assumptions!$C$76*K9</f>
        <v>800</v>
      </c>
      <c r="L26" s="28" t="n">
        <f aca="false">Assumptions!$C$76*L9</f>
        <v>800</v>
      </c>
      <c r="M26" s="28" t="n">
        <f aca="false">Assumptions!$C$76*M9</f>
        <v>800</v>
      </c>
      <c r="N26" s="28" t="n">
        <f aca="false">Assumptions!$C$76*N9</f>
        <v>800</v>
      </c>
      <c r="O26" s="28" t="n">
        <f aca="false">Assumptions!$C$76*O9</f>
        <v>824</v>
      </c>
      <c r="P26" s="28" t="n">
        <f aca="false">Assumptions!$C$76*P9</f>
        <v>824</v>
      </c>
      <c r="Q26" s="28" t="n">
        <f aca="false">Assumptions!$C$76*Q9</f>
        <v>824</v>
      </c>
      <c r="R26" s="28" t="n">
        <f aca="false">Assumptions!$C$76*R9</f>
        <v>824</v>
      </c>
      <c r="S26" s="28" t="n">
        <f aca="false">Assumptions!$C$76*S9</f>
        <v>824</v>
      </c>
      <c r="T26" s="28" t="n">
        <f aca="false">Assumptions!$C$76*T9</f>
        <v>824</v>
      </c>
      <c r="U26" s="28" t="n">
        <f aca="false">Assumptions!$C$76*U9</f>
        <v>824</v>
      </c>
      <c r="V26" s="28" t="n">
        <f aca="false">Assumptions!$C$76*V9</f>
        <v>824</v>
      </c>
      <c r="W26" s="28" t="n">
        <f aca="false">Assumptions!$C$76*W9</f>
        <v>824</v>
      </c>
      <c r="X26" s="28" t="n">
        <f aca="false">Assumptions!$C$76*X9</f>
        <v>824</v>
      </c>
      <c r="Y26" s="28" t="n">
        <f aca="false">Assumptions!$C$76*Y9</f>
        <v>824</v>
      </c>
      <c r="Z26" s="28" t="n">
        <f aca="false">Assumptions!$C$76*Z9</f>
        <v>824</v>
      </c>
      <c r="AA26" s="28" t="n">
        <f aca="false">Assumptions!$C$76*AA9</f>
        <v>848.72</v>
      </c>
      <c r="AB26" s="28" t="n">
        <f aca="false">Assumptions!$C$76*AB9</f>
        <v>848.72</v>
      </c>
      <c r="AC26" s="28" t="n">
        <f aca="false">Assumptions!$C$76*AC9</f>
        <v>848.72</v>
      </c>
      <c r="AD26" s="28" t="n">
        <f aca="false">Assumptions!$C$76*AD9</f>
        <v>848.72</v>
      </c>
      <c r="AE26" s="28" t="n">
        <f aca="false">Assumptions!$C$76*AE9</f>
        <v>848.72</v>
      </c>
      <c r="AF26" s="28" t="n">
        <f aca="false">Assumptions!$C$76*AF9</f>
        <v>848.72</v>
      </c>
      <c r="AG26" s="28" t="n">
        <f aca="false">Assumptions!$C$76*AG9</f>
        <v>848.72</v>
      </c>
      <c r="AH26" s="28" t="n">
        <f aca="false">Assumptions!$C$76*AH9</f>
        <v>848.72</v>
      </c>
      <c r="AI26" s="28" t="n">
        <f aca="false">Assumptions!$C$76*AI9</f>
        <v>848.72</v>
      </c>
      <c r="AJ26" s="28" t="n">
        <f aca="false">Assumptions!$C$76*AJ9</f>
        <v>848.72</v>
      </c>
      <c r="AK26" s="28" t="n">
        <f aca="false">Assumptions!$C$76*AK9</f>
        <v>848.72</v>
      </c>
      <c r="AL26" s="28" t="n">
        <f aca="false">Assumptions!$C$76*AL9</f>
        <v>848.72</v>
      </c>
      <c r="AM26" s="44" t="n">
        <f aca="false">SUMIF($C$5:$AL$5,AM$5,$C26:$AL26)</f>
        <v>9600</v>
      </c>
      <c r="AN26" s="44" t="n">
        <f aca="false">SUMIF($C$5:$AL$5,AN$5,$C26:$AL26)</f>
        <v>9888</v>
      </c>
      <c r="AO26" s="44" t="n">
        <f aca="false">SUMIF($C$5:$AL$5,AO$5,$C26:$AL26)</f>
        <v>10184.64</v>
      </c>
    </row>
    <row r="27" customFormat="false" ht="15" hidden="false" customHeight="false" outlineLevel="0" collapsed="false">
      <c r="A27" s="40" t="s">
        <v>270</v>
      </c>
      <c r="B27" s="41"/>
      <c r="C27" s="45" t="n">
        <f aca="false">SUM(C17:C26)</f>
        <v>13110.3165792</v>
      </c>
      <c r="D27" s="45" t="n">
        <f aca="false">SUM(D17:D26)</f>
        <v>13506.3174144</v>
      </c>
      <c r="E27" s="45" t="n">
        <f aca="false">SUM(E17:E26)</f>
        <v>15855.588192</v>
      </c>
      <c r="F27" s="45" t="n">
        <f aca="false">SUM(F17:F26)</f>
        <v>16072.80384</v>
      </c>
      <c r="G27" s="45" t="n">
        <f aca="false">SUM(G17:G26)</f>
        <v>17383.6167312</v>
      </c>
      <c r="H27" s="45" t="n">
        <f aca="false">SUM(H17:H26)</f>
        <v>17576.60448</v>
      </c>
      <c r="I27" s="45" t="n">
        <f aca="false">SUM(I17:I26)</f>
        <v>17927.491296</v>
      </c>
      <c r="J27" s="45" t="n">
        <f aca="false">SUM(J17:J26)</f>
        <v>17720.3009856</v>
      </c>
      <c r="K27" s="45" t="n">
        <f aca="false">SUM(K17:K26)</f>
        <v>17075.3376</v>
      </c>
      <c r="L27" s="45" t="n">
        <f aca="false">SUM(L17:L26)</f>
        <v>17409.51552</v>
      </c>
      <c r="M27" s="45" t="n">
        <f aca="false">SUM(M17:M26)</f>
        <v>16874.830848</v>
      </c>
      <c r="N27" s="45" t="n">
        <f aca="false">SUM(N17:N26)</f>
        <v>17616.7058304</v>
      </c>
      <c r="O27" s="45" t="n">
        <f aca="false">SUM(O17:O26)</f>
        <v>17152.8690136512</v>
      </c>
      <c r="P27" s="45" t="n">
        <f aca="false">SUM(P17:P26)</f>
        <v>16720.343200151</v>
      </c>
      <c r="Q27" s="45" t="n">
        <f aca="false">SUM(Q17:Q26)</f>
        <v>18251.910015168</v>
      </c>
      <c r="R27" s="45" t="n">
        <f aca="false">SUM(R17:R26)</f>
        <v>17897.38065984</v>
      </c>
      <c r="S27" s="45" t="n">
        <f aca="false">SUM(S17:S26)</f>
        <v>18801.4305159264</v>
      </c>
      <c r="T27" s="45" t="n">
        <f aca="false">SUM(T17:T26)</f>
        <v>18429.174692832</v>
      </c>
      <c r="U27" s="45" t="n">
        <f aca="false">SUM(U17:U26)</f>
        <v>18801.4305159264</v>
      </c>
      <c r="V27" s="45" t="n">
        <f aca="false">SUM(V17:V26)</f>
        <v>18581.622315623</v>
      </c>
      <c r="W27" s="45" t="n">
        <f aca="false">SUM(W17:W26)</f>
        <v>17897.38065984</v>
      </c>
      <c r="X27" s="45" t="n">
        <f aca="false">SUM(X17:X26)</f>
        <v>18251.910015168</v>
      </c>
      <c r="Y27" s="45" t="n">
        <f aca="false">SUM(Y17:Y26)</f>
        <v>17684.6630466432</v>
      </c>
      <c r="Z27" s="45" t="n">
        <f aca="false">SUM(Z17:Z26)</f>
        <v>18471.7182154714</v>
      </c>
      <c r="AA27" s="45" t="n">
        <f aca="false">SUM(AA17:AA26)</f>
        <v>17871.217285742</v>
      </c>
      <c r="AB27" s="45" t="n">
        <f aca="false">SUM(AB17:AB26)</f>
        <v>17074.1346086277</v>
      </c>
      <c r="AC27" s="45" t="n">
        <f aca="false">SUM(AC17:AC26)</f>
        <v>19025.8697619355</v>
      </c>
      <c r="AD27" s="45" t="n">
        <f aca="false">SUM(AD17:AD26)</f>
        <v>18653.4012212279</v>
      </c>
      <c r="AE27" s="45" t="n">
        <f aca="false">SUM(AE17:AE26)</f>
        <v>19603.1960000323</v>
      </c>
      <c r="AF27" s="45" t="n">
        <f aca="false">SUM(AF17:AF26)</f>
        <v>19212.1040322893</v>
      </c>
      <c r="AG27" s="45" t="n">
        <f aca="false">SUM(AG17:AG26)</f>
        <v>19603.1960000323</v>
      </c>
      <c r="AH27" s="45" t="n">
        <f aca="false">SUM(AH17:AH26)</f>
        <v>19372.2655047936</v>
      </c>
      <c r="AI27" s="45" t="n">
        <f aca="false">SUM(AI17:AI26)</f>
        <v>18653.4012212279</v>
      </c>
      <c r="AJ27" s="45" t="n">
        <f aca="false">SUM(AJ17:AJ26)</f>
        <v>19025.8697619355</v>
      </c>
      <c r="AK27" s="45" t="n">
        <f aca="false">SUM(AK17:AK26)</f>
        <v>18429.9200968033</v>
      </c>
      <c r="AL27" s="45" t="n">
        <f aca="false">SUM(AL17:AL26)</f>
        <v>19256.8002571742</v>
      </c>
      <c r="AM27" s="46" t="n">
        <f aca="false">SUMIF($C$5:$AL$5,AM$5,$C27:$AL27)</f>
        <v>198129.4293168</v>
      </c>
      <c r="AN27" s="46" t="n">
        <f aca="false">SUMIF($C$5:$AL$5,AN$5,$C27:$AL27)</f>
        <v>216941.832866241</v>
      </c>
      <c r="AO27" s="46" t="n">
        <f aca="false">SUMIF($C$5:$AL$5,AO$5,$C27:$AL27)</f>
        <v>225781.375751821</v>
      </c>
    </row>
    <row r="29" customFormat="false" ht="15" hidden="false" customHeight="false" outlineLevel="0" collapsed="false">
      <c r="A29" s="40" t="s">
        <v>271</v>
      </c>
      <c r="B29" s="41"/>
      <c r="C29" s="45" t="n">
        <f aca="false">C14+C27</f>
        <v>22110.3165792</v>
      </c>
      <c r="D29" s="45" t="n">
        <f aca="false">D14+D27</f>
        <v>22506.3174144</v>
      </c>
      <c r="E29" s="45" t="n">
        <f aca="false">E14+E27</f>
        <v>24855.588192</v>
      </c>
      <c r="F29" s="45" t="n">
        <f aca="false">F14+F27</f>
        <v>25072.80384</v>
      </c>
      <c r="G29" s="45" t="n">
        <f aca="false">G14+G27</f>
        <v>26383.6167312</v>
      </c>
      <c r="H29" s="45" t="n">
        <f aca="false">H14+H27</f>
        <v>26576.60448</v>
      </c>
      <c r="I29" s="45" t="n">
        <f aca="false">I14+I27</f>
        <v>26927.491296</v>
      </c>
      <c r="J29" s="45" t="n">
        <f aca="false">J14+J27</f>
        <v>26720.3009856</v>
      </c>
      <c r="K29" s="45" t="n">
        <f aca="false">K14+K27</f>
        <v>26075.3376</v>
      </c>
      <c r="L29" s="45" t="n">
        <f aca="false">L14+L27</f>
        <v>26409.51552</v>
      </c>
      <c r="M29" s="45" t="n">
        <f aca="false">M14+M27</f>
        <v>25874.830848</v>
      </c>
      <c r="N29" s="45" t="n">
        <f aca="false">N14+N27</f>
        <v>26616.7058304</v>
      </c>
      <c r="O29" s="45" t="n">
        <f aca="false">O14+O27</f>
        <v>26422.8690136512</v>
      </c>
      <c r="P29" s="45" t="n">
        <f aca="false">P14+P27</f>
        <v>25990.343200151</v>
      </c>
      <c r="Q29" s="45" t="n">
        <f aca="false">Q14+Q27</f>
        <v>27521.910015168</v>
      </c>
      <c r="R29" s="45" t="n">
        <f aca="false">R14+R27</f>
        <v>27167.38065984</v>
      </c>
      <c r="S29" s="45" t="n">
        <f aca="false">S14+S27</f>
        <v>28071.4305159264</v>
      </c>
      <c r="T29" s="45" t="n">
        <f aca="false">T14+T27</f>
        <v>27699.174692832</v>
      </c>
      <c r="U29" s="45" t="n">
        <f aca="false">U14+U27</f>
        <v>28071.4305159264</v>
      </c>
      <c r="V29" s="45" t="n">
        <f aca="false">V14+V27</f>
        <v>27851.622315623</v>
      </c>
      <c r="W29" s="45" t="n">
        <f aca="false">W14+W27</f>
        <v>27167.38065984</v>
      </c>
      <c r="X29" s="45" t="n">
        <f aca="false">X14+X27</f>
        <v>27521.910015168</v>
      </c>
      <c r="Y29" s="45" t="n">
        <f aca="false">Y14+Y27</f>
        <v>26954.6630466432</v>
      </c>
      <c r="Z29" s="45" t="n">
        <f aca="false">Z14+Z27</f>
        <v>27741.7182154714</v>
      </c>
      <c r="AA29" s="45" t="n">
        <f aca="false">AA14+AA27</f>
        <v>27419.317285742</v>
      </c>
      <c r="AB29" s="45" t="n">
        <f aca="false">AB14+AB27</f>
        <v>26622.2346086277</v>
      </c>
      <c r="AC29" s="45" t="n">
        <f aca="false">AC14+AC27</f>
        <v>28573.9697619355</v>
      </c>
      <c r="AD29" s="45" t="n">
        <f aca="false">AD14+AD27</f>
        <v>28201.5012212279</v>
      </c>
      <c r="AE29" s="45" t="n">
        <f aca="false">AE14+AE27</f>
        <v>29151.2960000323</v>
      </c>
      <c r="AF29" s="45" t="n">
        <f aca="false">AF14+AF27</f>
        <v>28760.2040322893</v>
      </c>
      <c r="AG29" s="45" t="n">
        <f aca="false">AG14+AG27</f>
        <v>29151.2960000323</v>
      </c>
      <c r="AH29" s="45" t="n">
        <f aca="false">AH14+AH27</f>
        <v>28920.3655047936</v>
      </c>
      <c r="AI29" s="45" t="n">
        <f aca="false">AI14+AI27</f>
        <v>28201.5012212279</v>
      </c>
      <c r="AJ29" s="45" t="n">
        <f aca="false">AJ14+AJ27</f>
        <v>28573.9697619355</v>
      </c>
      <c r="AK29" s="45" t="n">
        <f aca="false">AK14+AK27</f>
        <v>27978.0200968033</v>
      </c>
      <c r="AL29" s="45" t="n">
        <f aca="false">AL14+AL27</f>
        <v>28804.9002571742</v>
      </c>
      <c r="AM29" s="46" t="n">
        <f aca="false">SUMIF($C$5:$AL$5,AM$5,$C29:$AL29)</f>
        <v>306129.4293168</v>
      </c>
      <c r="AN29" s="46" t="n">
        <f aca="false">SUMIF($C$5:$AL$5,AN$5,$C29:$AL29)</f>
        <v>328181.832866241</v>
      </c>
      <c r="AO29" s="46" t="n">
        <f aca="false">SUMIF($C$5:$AL$5,AO$5,$C29:$AL29)</f>
        <v>340358.575751821</v>
      </c>
    </row>
    <row r="30" customFormat="false" ht="15" hidden="false" customHeight="false" outlineLevel="0" collapsed="false">
      <c r="A30" s="7" t="s">
        <v>272</v>
      </c>
      <c r="B30" s="2"/>
      <c r="C30" s="22" t="n">
        <f aca="false">IF(C7=0,0,C14/C7)</f>
        <v>0.123260887486279</v>
      </c>
      <c r="D30" s="22" t="n">
        <f aca="false">IF(D7=0,0,D14/D7)</f>
        <v>0.115700631188595</v>
      </c>
      <c r="E30" s="22" t="n">
        <f aca="false">IF(E7=0,0,E14/E7)</f>
        <v>0.0848324931523212</v>
      </c>
      <c r="F30" s="22" t="n">
        <f aca="false">IF(F7=0,0,F14/F7)</f>
        <v>0.0827902294282838</v>
      </c>
      <c r="G30" s="22" t="n">
        <f aca="false">IF(G7=0,0,G14/G7)</f>
        <v>0.0722883400295468</v>
      </c>
      <c r="H30" s="22" t="n">
        <f aca="false">IF(H7=0,0,H14/H7)</f>
        <v>0.0709630537956718</v>
      </c>
      <c r="I30" s="22" t="n">
        <f aca="false">IF(I7=0,0,I14/I7)</f>
        <v>0.0686739230280695</v>
      </c>
      <c r="J30" s="22" t="n">
        <f aca="false">IF(J7=0,0,J14/J7)</f>
        <v>0.0700073972616243</v>
      </c>
      <c r="K30" s="22" t="n">
        <f aca="false">IF(K7=0,0,K14/K7)</f>
        <v>0.0745112064854554</v>
      </c>
      <c r="L30" s="22" t="n">
        <f aca="false">IF(L7=0,0,L14/L7)</f>
        <v>0.072107619179473</v>
      </c>
      <c r="M30" s="22" t="n">
        <f aca="false">IF(M7=0,0,M14/M7)</f>
        <v>0.0760318433525055</v>
      </c>
      <c r="N30" s="22" t="n">
        <f aca="false">IF(N7=0,0,N14/N7)</f>
        <v>0.0706937442936009</v>
      </c>
      <c r="O30" s="22" t="n">
        <f aca="false">IF(O7=0,0,O14/O7)</f>
        <v>0.0777859969573603</v>
      </c>
      <c r="P30" s="22" t="n">
        <f aca="false">IF(P7=0,0,P14/P7)</f>
        <v>0.0813429278527118</v>
      </c>
      <c r="Q30" s="22" t="n">
        <f aca="false">IF(Q7=0,0,Q14/Q7)</f>
        <v>0.0700073972616243</v>
      </c>
      <c r="R30" s="22" t="n">
        <f aca="false">IF(R7=0,0,R14/R7)</f>
        <v>0.0723409771703451</v>
      </c>
      <c r="S30" s="22" t="n">
        <f aca="false">IF(S7=0,0,S14/S7)</f>
        <v>0.0666737116777374</v>
      </c>
      <c r="T30" s="22" t="n">
        <f aca="false">IF(T7=0,0,T14/T7)</f>
        <v>0.068896168733662</v>
      </c>
      <c r="U30" s="22" t="n">
        <f aca="false">IF(U7=0,0,U14/U7)</f>
        <v>0.0666737116777374</v>
      </c>
      <c r="V30" s="22" t="n">
        <f aca="false">IF(V7=0,0,V14/V7)</f>
        <v>0.0679683468559459</v>
      </c>
      <c r="W30" s="22" t="n">
        <f aca="false">IF(W7=0,0,W14/W7)</f>
        <v>0.0723409771703451</v>
      </c>
      <c r="X30" s="22" t="n">
        <f aca="false">IF(X7=0,0,X14/X7)</f>
        <v>0.0700073972616243</v>
      </c>
      <c r="Y30" s="22" t="n">
        <f aca="false">IF(Y7=0,0,Y14/Y7)</f>
        <v>0.0738173236432092</v>
      </c>
      <c r="Z30" s="22" t="n">
        <f aca="false">IF(Z7=0,0,Z14/Z7)</f>
        <v>0.0686347031976708</v>
      </c>
      <c r="AA30" s="22" t="n">
        <f aca="false">IF(AA7=0,0,AA14/AA7)</f>
        <v>0.0762607813307454</v>
      </c>
      <c r="AB30" s="22" t="n">
        <f aca="false">IF(AB7=0,0,AB14/AB7)</f>
        <v>0.0825961102145884</v>
      </c>
      <c r="AC30" s="22" t="n">
        <f aca="false">IF(AC7=0,0,AC14/AC7)</f>
        <v>0.0686347031976708</v>
      </c>
      <c r="AD30" s="22" t="n">
        <f aca="false">IF(AD7=0,0,AD14/AD7)</f>
        <v>0.0709225266375932</v>
      </c>
      <c r="AE30" s="22" t="n">
        <f aca="false">IF(AE7=0,0,AE14/AE7)</f>
        <v>0.0653663839977818</v>
      </c>
      <c r="AF30" s="22" t="n">
        <f aca="false">IF(AF7=0,0,AF14/AF7)</f>
        <v>0.0675452634643745</v>
      </c>
      <c r="AG30" s="22" t="n">
        <f aca="false">IF(AG7=0,0,AG14/AG7)</f>
        <v>0.0653663839977818</v>
      </c>
      <c r="AH30" s="22" t="n">
        <f aca="false">IF(AH7=0,0,AH14/AH7)</f>
        <v>0.066635634172496</v>
      </c>
      <c r="AI30" s="22" t="n">
        <f aca="false">IF(AI7=0,0,AI14/AI7)</f>
        <v>0.0709225266375932</v>
      </c>
      <c r="AJ30" s="22" t="n">
        <f aca="false">IF(AJ7=0,0,AJ14/AJ7)</f>
        <v>0.0686347031976708</v>
      </c>
      <c r="AK30" s="22" t="n">
        <f aca="false">IF(AK7=0,0,AK14/AK7)</f>
        <v>0.0723699251404012</v>
      </c>
      <c r="AL30" s="22" t="n">
        <f aca="false">IF(AL7=0,0,AL14/AL7)</f>
        <v>0.0672889247035989</v>
      </c>
      <c r="AM30" s="49" t="n">
        <f aca="false">IF(AM7=0,0,AM14/AM7)</f>
        <v>0.0789575007462273</v>
      </c>
      <c r="AN30" s="49" t="n">
        <f aca="false">IF(AN7=0,0,AN14/AN7)</f>
        <v>0.0711297948305908</v>
      </c>
      <c r="AO30" s="49" t="n">
        <f aca="false">IF(AO7=0,0,AO14/AO7)</f>
        <v>0.0699107625462982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4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O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8" min="3" style="0" width="11"/>
    <col collapsed="false" customWidth="true" hidden="false" outlineLevel="0" max="41" min="39" style="0" width="13"/>
  </cols>
  <sheetData>
    <row r="1" customFormat="false" ht="17.35" hidden="false" customHeight="false" outlineLevel="0" collapsed="false">
      <c r="A1" s="1" t="s">
        <v>273</v>
      </c>
    </row>
    <row r="2" customFormat="false" ht="15" hidden="false" customHeight="false" outlineLevel="0" collapsed="false">
      <c r="A2" s="2" t="s">
        <v>274</v>
      </c>
    </row>
    <row r="4" customFormat="false" ht="15" hidden="false" customHeight="false" outlineLevel="0" collapsed="false">
      <c r="A4" s="3" t="s">
        <v>202</v>
      </c>
      <c r="C4" s="29" t="n">
        <v>1</v>
      </c>
      <c r="D4" s="29" t="n">
        <v>2</v>
      </c>
      <c r="E4" s="29" t="n">
        <v>3</v>
      </c>
      <c r="F4" s="29" t="n">
        <v>4</v>
      </c>
      <c r="G4" s="29" t="n">
        <v>5</v>
      </c>
      <c r="H4" s="29" t="n">
        <v>6</v>
      </c>
      <c r="I4" s="29" t="n">
        <v>7</v>
      </c>
      <c r="J4" s="29" t="n">
        <v>8</v>
      </c>
      <c r="K4" s="29" t="n">
        <v>9</v>
      </c>
      <c r="L4" s="29" t="n">
        <v>10</v>
      </c>
      <c r="M4" s="29" t="n">
        <v>11</v>
      </c>
      <c r="N4" s="29" t="n">
        <v>12</v>
      </c>
      <c r="O4" s="29" t="n">
        <v>13</v>
      </c>
      <c r="P4" s="29" t="n">
        <v>14</v>
      </c>
      <c r="Q4" s="29" t="n">
        <v>15</v>
      </c>
      <c r="R4" s="29" t="n">
        <v>16</v>
      </c>
      <c r="S4" s="29" t="n">
        <v>17</v>
      </c>
      <c r="T4" s="29" t="n">
        <v>18</v>
      </c>
      <c r="U4" s="29" t="n">
        <v>19</v>
      </c>
      <c r="V4" s="29" t="n">
        <v>20</v>
      </c>
      <c r="W4" s="29" t="n">
        <v>21</v>
      </c>
      <c r="X4" s="29" t="n">
        <v>22</v>
      </c>
      <c r="Y4" s="29" t="n">
        <v>23</v>
      </c>
      <c r="Z4" s="29" t="n">
        <v>24</v>
      </c>
      <c r="AA4" s="29" t="n">
        <v>25</v>
      </c>
      <c r="AB4" s="29" t="n">
        <v>26</v>
      </c>
      <c r="AC4" s="29" t="n">
        <v>27</v>
      </c>
      <c r="AD4" s="29" t="n">
        <v>28</v>
      </c>
      <c r="AE4" s="29" t="n">
        <v>29</v>
      </c>
      <c r="AF4" s="29" t="n">
        <v>30</v>
      </c>
      <c r="AG4" s="29" t="n">
        <v>31</v>
      </c>
      <c r="AH4" s="29" t="n">
        <v>32</v>
      </c>
      <c r="AI4" s="29" t="n">
        <v>33</v>
      </c>
      <c r="AJ4" s="29" t="n">
        <v>34</v>
      </c>
      <c r="AK4" s="29" t="n">
        <v>35</v>
      </c>
      <c r="AL4" s="29" t="n">
        <v>36</v>
      </c>
      <c r="AM4" s="30" t="s">
        <v>203</v>
      </c>
      <c r="AN4" s="30" t="s">
        <v>203</v>
      </c>
      <c r="AO4" s="30" t="s">
        <v>203</v>
      </c>
    </row>
    <row r="5" customFormat="false" ht="15" hidden="false" customHeight="false" outlineLevel="0" collapsed="false">
      <c r="A5" s="3" t="s">
        <v>204</v>
      </c>
      <c r="C5" s="31" t="n">
        <f aca="false">INT((C4-1)/12)+1</f>
        <v>1</v>
      </c>
      <c r="D5" s="31" t="n">
        <f aca="false">INT((D4-1)/12)+1</f>
        <v>1</v>
      </c>
      <c r="E5" s="31" t="n">
        <f aca="false">INT((E4-1)/12)+1</f>
        <v>1</v>
      </c>
      <c r="F5" s="31" t="n">
        <f aca="false">INT((F4-1)/12)+1</f>
        <v>1</v>
      </c>
      <c r="G5" s="31" t="n">
        <f aca="false">INT((G4-1)/12)+1</f>
        <v>1</v>
      </c>
      <c r="H5" s="31" t="n">
        <f aca="false">INT((H4-1)/12)+1</f>
        <v>1</v>
      </c>
      <c r="I5" s="31" t="n">
        <f aca="false">INT((I4-1)/12)+1</f>
        <v>1</v>
      </c>
      <c r="J5" s="31" t="n">
        <f aca="false">INT((J4-1)/12)+1</f>
        <v>1</v>
      </c>
      <c r="K5" s="31" t="n">
        <f aca="false">INT((K4-1)/12)+1</f>
        <v>1</v>
      </c>
      <c r="L5" s="31" t="n">
        <f aca="false">INT((L4-1)/12)+1</f>
        <v>1</v>
      </c>
      <c r="M5" s="31" t="n">
        <f aca="false">INT((M4-1)/12)+1</f>
        <v>1</v>
      </c>
      <c r="N5" s="31" t="n">
        <f aca="false">INT((N4-1)/12)+1</f>
        <v>1</v>
      </c>
      <c r="O5" s="31" t="n">
        <f aca="false">INT((O4-1)/12)+1</f>
        <v>2</v>
      </c>
      <c r="P5" s="31" t="n">
        <f aca="false">INT((P4-1)/12)+1</f>
        <v>2</v>
      </c>
      <c r="Q5" s="31" t="n">
        <f aca="false">INT((Q4-1)/12)+1</f>
        <v>2</v>
      </c>
      <c r="R5" s="31" t="n">
        <f aca="false">INT((R4-1)/12)+1</f>
        <v>2</v>
      </c>
      <c r="S5" s="31" t="n">
        <f aca="false">INT((S4-1)/12)+1</f>
        <v>2</v>
      </c>
      <c r="T5" s="31" t="n">
        <f aca="false">INT((T4-1)/12)+1</f>
        <v>2</v>
      </c>
      <c r="U5" s="31" t="n">
        <f aca="false">INT((U4-1)/12)+1</f>
        <v>2</v>
      </c>
      <c r="V5" s="31" t="n">
        <f aca="false">INT((V4-1)/12)+1</f>
        <v>2</v>
      </c>
      <c r="W5" s="31" t="n">
        <f aca="false">INT((W4-1)/12)+1</f>
        <v>2</v>
      </c>
      <c r="X5" s="31" t="n">
        <f aca="false">INT((X4-1)/12)+1</f>
        <v>2</v>
      </c>
      <c r="Y5" s="31" t="n">
        <f aca="false">INT((Y4-1)/12)+1</f>
        <v>2</v>
      </c>
      <c r="Z5" s="31" t="n">
        <f aca="false">INT((Z4-1)/12)+1</f>
        <v>2</v>
      </c>
      <c r="AA5" s="31" t="n">
        <f aca="false">INT((AA4-1)/12)+1</f>
        <v>3</v>
      </c>
      <c r="AB5" s="31" t="n">
        <f aca="false">INT((AB4-1)/12)+1</f>
        <v>3</v>
      </c>
      <c r="AC5" s="31" t="n">
        <f aca="false">INT((AC4-1)/12)+1</f>
        <v>3</v>
      </c>
      <c r="AD5" s="31" t="n">
        <f aca="false">INT((AD4-1)/12)+1</f>
        <v>3</v>
      </c>
      <c r="AE5" s="31" t="n">
        <f aca="false">INT((AE4-1)/12)+1</f>
        <v>3</v>
      </c>
      <c r="AF5" s="31" t="n">
        <f aca="false">INT((AF4-1)/12)+1</f>
        <v>3</v>
      </c>
      <c r="AG5" s="31" t="n">
        <f aca="false">INT((AG4-1)/12)+1</f>
        <v>3</v>
      </c>
      <c r="AH5" s="31" t="n">
        <f aca="false">INT((AH4-1)/12)+1</f>
        <v>3</v>
      </c>
      <c r="AI5" s="31" t="n">
        <f aca="false">INT((AI4-1)/12)+1</f>
        <v>3</v>
      </c>
      <c r="AJ5" s="31" t="n">
        <f aca="false">INT((AJ4-1)/12)+1</f>
        <v>3</v>
      </c>
      <c r="AK5" s="31" t="n">
        <f aca="false">INT((AK4-1)/12)+1</f>
        <v>3</v>
      </c>
      <c r="AL5" s="31" t="n">
        <f aca="false">INT((AL4-1)/12)+1</f>
        <v>3</v>
      </c>
      <c r="AM5" s="29" t="n">
        <v>1</v>
      </c>
      <c r="AN5" s="29" t="n">
        <v>2</v>
      </c>
      <c r="AO5" s="29" t="n">
        <v>3</v>
      </c>
    </row>
    <row r="6" customFormat="false" ht="15" hidden="false" customHeight="false" outlineLevel="0" collapsed="false">
      <c r="A6" s="5" t="s">
        <v>205</v>
      </c>
      <c r="B6" s="5" t="s">
        <v>63</v>
      </c>
      <c r="C6" s="32" t="n">
        <f aca="false">EDATE(Assumptions!$C$7,C4-1)</f>
        <v>46388</v>
      </c>
      <c r="D6" s="32" t="n">
        <f aca="false">EDATE(Assumptions!$C$7,D4-1)</f>
        <v>46419</v>
      </c>
      <c r="E6" s="32" t="n">
        <f aca="false">EDATE(Assumptions!$C$7,E4-1)</f>
        <v>46447</v>
      </c>
      <c r="F6" s="32" t="n">
        <f aca="false">EDATE(Assumptions!$C$7,F4-1)</f>
        <v>46478</v>
      </c>
      <c r="G6" s="32" t="n">
        <f aca="false">EDATE(Assumptions!$C$7,G4-1)</f>
        <v>46508</v>
      </c>
      <c r="H6" s="32" t="n">
        <f aca="false">EDATE(Assumptions!$C$7,H4-1)</f>
        <v>46539</v>
      </c>
      <c r="I6" s="32" t="n">
        <f aca="false">EDATE(Assumptions!$C$7,I4-1)</f>
        <v>46569</v>
      </c>
      <c r="J6" s="32" t="n">
        <f aca="false">EDATE(Assumptions!$C$7,J4-1)</f>
        <v>46600</v>
      </c>
      <c r="K6" s="32" t="n">
        <f aca="false">EDATE(Assumptions!$C$7,K4-1)</f>
        <v>46631</v>
      </c>
      <c r="L6" s="32" t="n">
        <f aca="false">EDATE(Assumptions!$C$7,L4-1)</f>
        <v>46661</v>
      </c>
      <c r="M6" s="32" t="n">
        <f aca="false">EDATE(Assumptions!$C$7,M4-1)</f>
        <v>46692</v>
      </c>
      <c r="N6" s="32" t="n">
        <f aca="false">EDATE(Assumptions!$C$7,N4-1)</f>
        <v>46722</v>
      </c>
      <c r="O6" s="32" t="n">
        <f aca="false">EDATE(Assumptions!$C$7,O4-1)</f>
        <v>46753</v>
      </c>
      <c r="P6" s="32" t="n">
        <f aca="false">EDATE(Assumptions!$C$7,P4-1)</f>
        <v>46784</v>
      </c>
      <c r="Q6" s="32" t="n">
        <f aca="false">EDATE(Assumptions!$C$7,Q4-1)</f>
        <v>46813</v>
      </c>
      <c r="R6" s="32" t="n">
        <f aca="false">EDATE(Assumptions!$C$7,R4-1)</f>
        <v>46844</v>
      </c>
      <c r="S6" s="32" t="n">
        <f aca="false">EDATE(Assumptions!$C$7,S4-1)</f>
        <v>46874</v>
      </c>
      <c r="T6" s="32" t="n">
        <f aca="false">EDATE(Assumptions!$C$7,T4-1)</f>
        <v>46905</v>
      </c>
      <c r="U6" s="32" t="n">
        <f aca="false">EDATE(Assumptions!$C$7,U4-1)</f>
        <v>46935</v>
      </c>
      <c r="V6" s="32" t="n">
        <f aca="false">EDATE(Assumptions!$C$7,V4-1)</f>
        <v>46966</v>
      </c>
      <c r="W6" s="32" t="n">
        <f aca="false">EDATE(Assumptions!$C$7,W4-1)</f>
        <v>46997</v>
      </c>
      <c r="X6" s="32" t="n">
        <f aca="false">EDATE(Assumptions!$C$7,X4-1)</f>
        <v>47027</v>
      </c>
      <c r="Y6" s="32" t="n">
        <f aca="false">EDATE(Assumptions!$C$7,Y4-1)</f>
        <v>47058</v>
      </c>
      <c r="Z6" s="32" t="n">
        <f aca="false">EDATE(Assumptions!$C$7,Z4-1)</f>
        <v>47088</v>
      </c>
      <c r="AA6" s="32" t="n">
        <f aca="false">EDATE(Assumptions!$C$7,AA4-1)</f>
        <v>47119</v>
      </c>
      <c r="AB6" s="32" t="n">
        <f aca="false">EDATE(Assumptions!$C$7,AB4-1)</f>
        <v>47150</v>
      </c>
      <c r="AC6" s="32" t="n">
        <f aca="false">EDATE(Assumptions!$C$7,AC4-1)</f>
        <v>47178</v>
      </c>
      <c r="AD6" s="32" t="n">
        <f aca="false">EDATE(Assumptions!$C$7,AD4-1)</f>
        <v>47209</v>
      </c>
      <c r="AE6" s="32" t="n">
        <f aca="false">EDATE(Assumptions!$C$7,AE4-1)</f>
        <v>47239</v>
      </c>
      <c r="AF6" s="32" t="n">
        <f aca="false">EDATE(Assumptions!$C$7,AF4-1)</f>
        <v>47270</v>
      </c>
      <c r="AG6" s="32" t="n">
        <f aca="false">EDATE(Assumptions!$C$7,AG4-1)</f>
        <v>47300</v>
      </c>
      <c r="AH6" s="32" t="n">
        <f aca="false">EDATE(Assumptions!$C$7,AH4-1)</f>
        <v>47331</v>
      </c>
      <c r="AI6" s="32" t="n">
        <f aca="false">EDATE(Assumptions!$C$7,AI4-1)</f>
        <v>47362</v>
      </c>
      <c r="AJ6" s="32" t="n">
        <f aca="false">EDATE(Assumptions!$C$7,AJ4-1)</f>
        <v>47392</v>
      </c>
      <c r="AK6" s="32" t="n">
        <f aca="false">EDATE(Assumptions!$C$7,AK4-1)</f>
        <v>47423</v>
      </c>
      <c r="AL6" s="32" t="n">
        <f aca="false">EDATE(Assumptions!$C$7,AL4-1)</f>
        <v>47453</v>
      </c>
      <c r="AM6" s="33" t="s">
        <v>206</v>
      </c>
      <c r="AN6" s="33" t="s">
        <v>207</v>
      </c>
      <c r="AO6" s="33" t="s">
        <v>208</v>
      </c>
    </row>
    <row r="7" customFormat="false" ht="15" hidden="false" customHeight="false" outlineLevel="0" collapsed="false">
      <c r="A7" s="7" t="s">
        <v>229</v>
      </c>
      <c r="B7" s="2"/>
      <c r="C7" s="48" t="n">
        <f aca="false">Revenue!C29</f>
        <v>54761.8968</v>
      </c>
      <c r="D7" s="48" t="n">
        <f aca="false">Revenue!D29</f>
        <v>58340.2176</v>
      </c>
      <c r="E7" s="48" t="n">
        <f aca="false">Revenue!E29</f>
        <v>79568.568</v>
      </c>
      <c r="F7" s="48" t="n">
        <f aca="false">Revenue!F29</f>
        <v>81531.36</v>
      </c>
      <c r="G7" s="48" t="n">
        <f aca="false">Revenue!G29</f>
        <v>93376.0548</v>
      </c>
      <c r="H7" s="48" t="n">
        <f aca="false">Revenue!H29</f>
        <v>95119.92</v>
      </c>
      <c r="I7" s="48" t="n">
        <f aca="false">Revenue!I29</f>
        <v>98290.584</v>
      </c>
      <c r="J7" s="48" t="n">
        <f aca="false">Revenue!J29</f>
        <v>96418.3824</v>
      </c>
      <c r="K7" s="48" t="n">
        <f aca="false">Revenue!K29</f>
        <v>90590.4</v>
      </c>
      <c r="L7" s="48" t="n">
        <f aca="false">Revenue!L29</f>
        <v>93610.08</v>
      </c>
      <c r="M7" s="48" t="n">
        <f aca="false">Revenue!M29</f>
        <v>88778.592</v>
      </c>
      <c r="N7" s="48" t="n">
        <f aca="false">Revenue!N29</f>
        <v>95482.2816</v>
      </c>
      <c r="O7" s="48" t="n">
        <f aca="false">Revenue!O29</f>
        <v>89379.8404848</v>
      </c>
      <c r="P7" s="48" t="n">
        <f aca="false">Revenue!P29</f>
        <v>85471.47470016</v>
      </c>
      <c r="Q7" s="48" t="n">
        <f aca="false">Revenue!Q29</f>
        <v>99310.933872</v>
      </c>
      <c r="R7" s="48" t="n">
        <f aca="false">Revenue!R29</f>
        <v>96107.35536</v>
      </c>
      <c r="S7" s="48" t="n">
        <f aca="false">Revenue!S29</f>
        <v>104276.4805656</v>
      </c>
      <c r="T7" s="48" t="n">
        <f aca="false">Revenue!T29</f>
        <v>100912.723128</v>
      </c>
      <c r="U7" s="48" t="n">
        <f aca="false">Revenue!U29</f>
        <v>104276.4805656</v>
      </c>
      <c r="V7" s="48" t="n">
        <f aca="false">Revenue!V29</f>
        <v>102290.26188816</v>
      </c>
      <c r="W7" s="48" t="n">
        <f aca="false">Revenue!W29</f>
        <v>96107.35536</v>
      </c>
      <c r="X7" s="48" t="n">
        <f aca="false">Revenue!X29</f>
        <v>99310.933872</v>
      </c>
      <c r="Y7" s="48" t="n">
        <f aca="false">Revenue!Y29</f>
        <v>94185.2082528</v>
      </c>
      <c r="Z7" s="48" t="n">
        <f aca="false">Revenue!Z29</f>
        <v>101297.15254944</v>
      </c>
      <c r="AA7" s="48" t="n">
        <f aca="false">Revenue!AA29</f>
        <v>93902.4604133309</v>
      </c>
      <c r="AB7" s="48" t="n">
        <f aca="false">Revenue!AB29</f>
        <v>86699.9061020575</v>
      </c>
      <c r="AC7" s="48" t="n">
        <f aca="false">Revenue!AC29</f>
        <v>104336.067125923</v>
      </c>
      <c r="AD7" s="48" t="n">
        <f aca="false">Revenue!AD29</f>
        <v>100970.387541216</v>
      </c>
      <c r="AE7" s="48" t="n">
        <f aca="false">Revenue!AE29</f>
        <v>109552.870482219</v>
      </c>
      <c r="AF7" s="48" t="n">
        <f aca="false">Revenue!AF29</f>
        <v>106018.906918277</v>
      </c>
      <c r="AG7" s="48" t="n">
        <f aca="false">Revenue!AG29</f>
        <v>109552.870482219</v>
      </c>
      <c r="AH7" s="48" t="n">
        <f aca="false">Revenue!AH29</f>
        <v>107466.149139701</v>
      </c>
      <c r="AI7" s="48" t="n">
        <f aca="false">Revenue!AI29</f>
        <v>100970.387541216</v>
      </c>
      <c r="AJ7" s="48" t="n">
        <f aca="false">Revenue!AJ29</f>
        <v>104336.067125923</v>
      </c>
      <c r="AK7" s="48" t="n">
        <f aca="false">Revenue!AK29</f>
        <v>98950.9797903917</v>
      </c>
      <c r="AL7" s="48" t="n">
        <f aca="false">Revenue!AL29</f>
        <v>106422.788468442</v>
      </c>
      <c r="AM7" s="44" t="n">
        <f aca="false">SUMIF($C$5:$AL$5,AM$5,$C7:$AL7)</f>
        <v>1025868.3372</v>
      </c>
      <c r="AN7" s="44" t="n">
        <f aca="false">SUMIF($C$5:$AL$5,AN$5,$C7:$AL7)</f>
        <v>1172926.20059856</v>
      </c>
      <c r="AO7" s="44" t="n">
        <f aca="false">SUMIF($C$5:$AL$5,AO$5,$C7:$AL7)</f>
        <v>1229179.84113092</v>
      </c>
    </row>
    <row r="8" customFormat="false" ht="15" hidden="false" customHeight="false" outlineLevel="0" collapsed="false">
      <c r="A8" s="7" t="s">
        <v>230</v>
      </c>
      <c r="B8" s="2"/>
      <c r="C8" s="48" t="n">
        <f aca="false">Revenue!C30</f>
        <v>18253.9656</v>
      </c>
      <c r="D8" s="48" t="n">
        <f aca="false">Revenue!D30</f>
        <v>19446.7392</v>
      </c>
      <c r="E8" s="48" t="n">
        <f aca="false">Revenue!E30</f>
        <v>26522.856</v>
      </c>
      <c r="F8" s="48" t="n">
        <f aca="false">Revenue!F30</f>
        <v>27177.12</v>
      </c>
      <c r="G8" s="48" t="n">
        <f aca="false">Revenue!G30</f>
        <v>31125.3516</v>
      </c>
      <c r="H8" s="48" t="n">
        <f aca="false">Revenue!H30</f>
        <v>31706.64</v>
      </c>
      <c r="I8" s="48" t="n">
        <f aca="false">Revenue!I30</f>
        <v>32763.528</v>
      </c>
      <c r="J8" s="48" t="n">
        <f aca="false">Revenue!J30</f>
        <v>32139.4608</v>
      </c>
      <c r="K8" s="48" t="n">
        <f aca="false">Revenue!K30</f>
        <v>30196.8</v>
      </c>
      <c r="L8" s="48" t="n">
        <f aca="false">Revenue!L30</f>
        <v>31203.36</v>
      </c>
      <c r="M8" s="48" t="n">
        <f aca="false">Revenue!M30</f>
        <v>29592.864</v>
      </c>
      <c r="N8" s="48" t="n">
        <f aca="false">Revenue!N30</f>
        <v>31827.4272</v>
      </c>
      <c r="O8" s="48" t="n">
        <f aca="false">Revenue!O30</f>
        <v>29793.2801616</v>
      </c>
      <c r="P8" s="48" t="n">
        <f aca="false">Revenue!P30</f>
        <v>28490.49156672</v>
      </c>
      <c r="Q8" s="48" t="n">
        <f aca="false">Revenue!Q30</f>
        <v>33103.644624</v>
      </c>
      <c r="R8" s="48" t="n">
        <f aca="false">Revenue!R30</f>
        <v>32035.78512</v>
      </c>
      <c r="S8" s="48" t="n">
        <f aca="false">Revenue!S30</f>
        <v>34758.8268552</v>
      </c>
      <c r="T8" s="48" t="n">
        <f aca="false">Revenue!T30</f>
        <v>33637.574376</v>
      </c>
      <c r="U8" s="48" t="n">
        <f aca="false">Revenue!U30</f>
        <v>34758.8268552</v>
      </c>
      <c r="V8" s="48" t="n">
        <f aca="false">Revenue!V30</f>
        <v>34096.75396272</v>
      </c>
      <c r="W8" s="48" t="n">
        <f aca="false">Revenue!W30</f>
        <v>32035.78512</v>
      </c>
      <c r="X8" s="48" t="n">
        <f aca="false">Revenue!X30</f>
        <v>33103.644624</v>
      </c>
      <c r="Y8" s="48" t="n">
        <f aca="false">Revenue!Y30</f>
        <v>31395.0694176</v>
      </c>
      <c r="Z8" s="48" t="n">
        <f aca="false">Revenue!Z30</f>
        <v>33765.71751648</v>
      </c>
      <c r="AA8" s="48" t="n">
        <f aca="false">Revenue!AA30</f>
        <v>31300.820137777</v>
      </c>
      <c r="AB8" s="48" t="n">
        <f aca="false">Revenue!AB30</f>
        <v>28899.9687006858</v>
      </c>
      <c r="AC8" s="48" t="n">
        <f aca="false">Revenue!AC30</f>
        <v>34778.6890419744</v>
      </c>
      <c r="AD8" s="48" t="n">
        <f aca="false">Revenue!AD30</f>
        <v>33656.795847072</v>
      </c>
      <c r="AE8" s="48" t="n">
        <f aca="false">Revenue!AE30</f>
        <v>36517.6234940731</v>
      </c>
      <c r="AF8" s="48" t="n">
        <f aca="false">Revenue!AF30</f>
        <v>35339.6356394256</v>
      </c>
      <c r="AG8" s="48" t="n">
        <f aca="false">Revenue!AG30</f>
        <v>36517.6234940731</v>
      </c>
      <c r="AH8" s="48" t="n">
        <f aca="false">Revenue!AH30</f>
        <v>35822.0497132336</v>
      </c>
      <c r="AI8" s="48" t="n">
        <f aca="false">Revenue!AI30</f>
        <v>33656.795847072</v>
      </c>
      <c r="AJ8" s="48" t="n">
        <f aca="false">Revenue!AJ30</f>
        <v>34778.6890419744</v>
      </c>
      <c r="AK8" s="48" t="n">
        <f aca="false">Revenue!AK30</f>
        <v>32983.6599301306</v>
      </c>
      <c r="AL8" s="48" t="n">
        <f aca="false">Revenue!AL30</f>
        <v>35474.2628228139</v>
      </c>
      <c r="AM8" s="44" t="n">
        <f aca="false">SUMIF($C$5:$AL$5,AM$5,$C8:$AL8)</f>
        <v>341956.1124</v>
      </c>
      <c r="AN8" s="44" t="n">
        <f aca="false">SUMIF($C$5:$AL$5,AN$5,$C8:$AL8)</f>
        <v>390975.40019952</v>
      </c>
      <c r="AO8" s="44" t="n">
        <f aca="false">SUMIF($C$5:$AL$5,AO$5,$C8:$AL8)</f>
        <v>409726.613710306</v>
      </c>
    </row>
    <row r="9" customFormat="false" ht="15" hidden="false" customHeight="false" outlineLevel="0" collapsed="false">
      <c r="A9" s="40" t="s">
        <v>228</v>
      </c>
      <c r="B9" s="41"/>
      <c r="C9" s="45" t="n">
        <f aca="false">C7+C8</f>
        <v>73015.8624</v>
      </c>
      <c r="D9" s="45" t="n">
        <f aca="false">D7+D8</f>
        <v>77786.9568</v>
      </c>
      <c r="E9" s="45" t="n">
        <f aca="false">E7+E8</f>
        <v>106091.424</v>
      </c>
      <c r="F9" s="45" t="n">
        <f aca="false">F7+F8</f>
        <v>108708.48</v>
      </c>
      <c r="G9" s="45" t="n">
        <f aca="false">G7+G8</f>
        <v>124501.4064</v>
      </c>
      <c r="H9" s="45" t="n">
        <f aca="false">H7+H8</f>
        <v>126826.56</v>
      </c>
      <c r="I9" s="45" t="n">
        <f aca="false">I7+I8</f>
        <v>131054.112</v>
      </c>
      <c r="J9" s="45" t="n">
        <f aca="false">J7+J8</f>
        <v>128557.8432</v>
      </c>
      <c r="K9" s="45" t="n">
        <f aca="false">K7+K8</f>
        <v>120787.2</v>
      </c>
      <c r="L9" s="45" t="n">
        <f aca="false">L7+L8</f>
        <v>124813.44</v>
      </c>
      <c r="M9" s="45" t="n">
        <f aca="false">M7+M8</f>
        <v>118371.456</v>
      </c>
      <c r="N9" s="45" t="n">
        <f aca="false">N7+N8</f>
        <v>127309.7088</v>
      </c>
      <c r="O9" s="45" t="n">
        <f aca="false">O7+O8</f>
        <v>119173.1206464</v>
      </c>
      <c r="P9" s="45" t="n">
        <f aca="false">P7+P8</f>
        <v>113961.96626688</v>
      </c>
      <c r="Q9" s="45" t="n">
        <f aca="false">Q7+Q8</f>
        <v>132414.578496</v>
      </c>
      <c r="R9" s="45" t="n">
        <f aca="false">R7+R8</f>
        <v>128143.14048</v>
      </c>
      <c r="S9" s="45" t="n">
        <f aca="false">S7+S8</f>
        <v>139035.3074208</v>
      </c>
      <c r="T9" s="45" t="n">
        <f aca="false">T7+T8</f>
        <v>134550.297504</v>
      </c>
      <c r="U9" s="45" t="n">
        <f aca="false">U7+U8</f>
        <v>139035.3074208</v>
      </c>
      <c r="V9" s="45" t="n">
        <f aca="false">V7+V8</f>
        <v>136387.01585088</v>
      </c>
      <c r="W9" s="45" t="n">
        <f aca="false">W7+W8</f>
        <v>128143.14048</v>
      </c>
      <c r="X9" s="45" t="n">
        <f aca="false">X7+X8</f>
        <v>132414.578496</v>
      </c>
      <c r="Y9" s="45" t="n">
        <f aca="false">Y7+Y8</f>
        <v>125580.2776704</v>
      </c>
      <c r="Z9" s="45" t="n">
        <f aca="false">Z7+Z8</f>
        <v>135062.87006592</v>
      </c>
      <c r="AA9" s="45" t="n">
        <f aca="false">AA7+AA8</f>
        <v>125203.280551108</v>
      </c>
      <c r="AB9" s="45" t="n">
        <f aca="false">AB7+AB8</f>
        <v>115599.874802743</v>
      </c>
      <c r="AC9" s="45" t="n">
        <f aca="false">AC7+AC8</f>
        <v>139114.756167898</v>
      </c>
      <c r="AD9" s="45" t="n">
        <f aca="false">AD7+AD8</f>
        <v>134627.183388288</v>
      </c>
      <c r="AE9" s="45" t="n">
        <f aca="false">AE7+AE8</f>
        <v>146070.493976293</v>
      </c>
      <c r="AF9" s="45" t="n">
        <f aca="false">AF7+AF8</f>
        <v>141358.542557702</v>
      </c>
      <c r="AG9" s="45" t="n">
        <f aca="false">AG7+AG8</f>
        <v>146070.493976293</v>
      </c>
      <c r="AH9" s="45" t="n">
        <f aca="false">AH7+AH8</f>
        <v>143288.198852935</v>
      </c>
      <c r="AI9" s="45" t="n">
        <f aca="false">AI7+AI8</f>
        <v>134627.183388288</v>
      </c>
      <c r="AJ9" s="45" t="n">
        <f aca="false">AJ7+AJ8</f>
        <v>139114.756167898</v>
      </c>
      <c r="AK9" s="45" t="n">
        <f aca="false">AK7+AK8</f>
        <v>131934.639720522</v>
      </c>
      <c r="AL9" s="45" t="n">
        <f aca="false">AL7+AL8</f>
        <v>141897.051291256</v>
      </c>
      <c r="AM9" s="46" t="n">
        <f aca="false">SUMIF($C$5:$AL$5,AM$5,$C9:$AL9)</f>
        <v>1367824.4496</v>
      </c>
      <c r="AN9" s="46" t="n">
        <f aca="false">SUMIF($C$5:$AL$5,AN$5,$C9:$AL9)</f>
        <v>1563901.60079808</v>
      </c>
      <c r="AO9" s="46" t="n">
        <f aca="false">SUMIF($C$5:$AL$5,AO$5,$C9:$AL9)</f>
        <v>1638906.45484122</v>
      </c>
    </row>
    <row r="10" customFormat="false" ht="15" hidden="false" customHeight="false" outlineLevel="0" collapsed="false">
      <c r="A10" s="7" t="s">
        <v>232</v>
      </c>
      <c r="B10" s="2"/>
      <c r="C10" s="48" t="n">
        <f aca="false">COGS!C12</f>
        <v>20809.520784</v>
      </c>
      <c r="D10" s="48" t="n">
        <f aca="false">COGS!D12</f>
        <v>22169.282688</v>
      </c>
      <c r="E10" s="48" t="n">
        <f aca="false">COGS!E12</f>
        <v>30236.05584</v>
      </c>
      <c r="F10" s="48" t="n">
        <f aca="false">COGS!F12</f>
        <v>30981.9168</v>
      </c>
      <c r="G10" s="48" t="n">
        <f aca="false">COGS!G12</f>
        <v>35482.900824</v>
      </c>
      <c r="H10" s="48" t="n">
        <f aca="false">COGS!H12</f>
        <v>36145.5696</v>
      </c>
      <c r="I10" s="48" t="n">
        <f aca="false">COGS!I12</f>
        <v>37350.42192</v>
      </c>
      <c r="J10" s="48" t="n">
        <f aca="false">COGS!J12</f>
        <v>36638.985312</v>
      </c>
      <c r="K10" s="48" t="n">
        <f aca="false">COGS!K12</f>
        <v>34424.352</v>
      </c>
      <c r="L10" s="48" t="n">
        <f aca="false">COGS!L12</f>
        <v>35571.8304</v>
      </c>
      <c r="M10" s="48" t="n">
        <f aca="false">COGS!M12</f>
        <v>33735.86496</v>
      </c>
      <c r="N10" s="48" t="n">
        <f aca="false">COGS!N12</f>
        <v>36283.267008</v>
      </c>
      <c r="O10" s="48" t="n">
        <f aca="false">COGS!O12</f>
        <v>33964.339384224</v>
      </c>
      <c r="P10" s="48" t="n">
        <f aca="false">COGS!P12</f>
        <v>32479.1603860608</v>
      </c>
      <c r="Q10" s="48" t="n">
        <f aca="false">COGS!Q12</f>
        <v>37738.15487136</v>
      </c>
      <c r="R10" s="48" t="n">
        <f aca="false">COGS!R12</f>
        <v>36520.7950368</v>
      </c>
      <c r="S10" s="48" t="n">
        <f aca="false">COGS!S12</f>
        <v>39625.062614928</v>
      </c>
      <c r="T10" s="48" t="n">
        <f aca="false">COGS!T12</f>
        <v>38346.83478864</v>
      </c>
      <c r="U10" s="48" t="n">
        <f aca="false">COGS!U12</f>
        <v>39625.062614928</v>
      </c>
      <c r="V10" s="48" t="n">
        <f aca="false">COGS!V12</f>
        <v>38870.2995175008</v>
      </c>
      <c r="W10" s="48" t="n">
        <f aca="false">COGS!W12</f>
        <v>36520.7950368</v>
      </c>
      <c r="X10" s="48" t="n">
        <f aca="false">COGS!X12</f>
        <v>37738.15487136</v>
      </c>
      <c r="Y10" s="48" t="n">
        <f aca="false">COGS!Y12</f>
        <v>35790.379136064</v>
      </c>
      <c r="Z10" s="48" t="n">
        <f aca="false">COGS!Z12</f>
        <v>38492.9179687872</v>
      </c>
      <c r="AA10" s="48" t="n">
        <f aca="false">COGS!AA12</f>
        <v>35682.9349570657</v>
      </c>
      <c r="AB10" s="48" t="n">
        <f aca="false">COGS!AB12</f>
        <v>32945.9643187818</v>
      </c>
      <c r="AC10" s="48" t="n">
        <f aca="false">COGS!AC12</f>
        <v>39647.7055078508</v>
      </c>
      <c r="AD10" s="48" t="n">
        <f aca="false">COGS!AD12</f>
        <v>38368.7472656621</v>
      </c>
      <c r="AE10" s="48" t="n">
        <f aca="false">COGS!AE12</f>
        <v>41630.0907832434</v>
      </c>
      <c r="AF10" s="48" t="n">
        <f aca="false">COGS!AF12</f>
        <v>40287.1846289452</v>
      </c>
      <c r="AG10" s="48" t="n">
        <f aca="false">COGS!AG12</f>
        <v>41630.0907832434</v>
      </c>
      <c r="AH10" s="48" t="n">
        <f aca="false">COGS!AH12</f>
        <v>40837.1366730863</v>
      </c>
      <c r="AI10" s="48" t="n">
        <f aca="false">COGS!AI12</f>
        <v>38368.7472656621</v>
      </c>
      <c r="AJ10" s="48" t="n">
        <f aca="false">COGS!AJ12</f>
        <v>39647.7055078508</v>
      </c>
      <c r="AK10" s="48" t="n">
        <f aca="false">COGS!AK12</f>
        <v>37601.3723203488</v>
      </c>
      <c r="AL10" s="48" t="n">
        <f aca="false">COGS!AL12</f>
        <v>40440.6596180078</v>
      </c>
      <c r="AM10" s="44" t="n">
        <f aca="false">SUMIF($C$5:$AL$5,AM$5,$C10:$AL10)</f>
        <v>389829.968136</v>
      </c>
      <c r="AN10" s="44" t="n">
        <f aca="false">SUMIF($C$5:$AL$5,AN$5,$C10:$AL10)</f>
        <v>445711.956227453</v>
      </c>
      <c r="AO10" s="44" t="n">
        <f aca="false">SUMIF($C$5:$AL$5,AO$5,$C10:$AL10)</f>
        <v>467088.339629748</v>
      </c>
    </row>
    <row r="11" customFormat="false" ht="15" hidden="false" customHeight="false" outlineLevel="0" collapsed="false">
      <c r="A11" s="40" t="s">
        <v>275</v>
      </c>
      <c r="B11" s="41"/>
      <c r="C11" s="45" t="n">
        <f aca="false">C9-C10</f>
        <v>52206.341616</v>
      </c>
      <c r="D11" s="45" t="n">
        <f aca="false">D9-D10</f>
        <v>55617.674112</v>
      </c>
      <c r="E11" s="45" t="n">
        <f aca="false">E9-E10</f>
        <v>75855.36816</v>
      </c>
      <c r="F11" s="45" t="n">
        <f aca="false">F9-F10</f>
        <v>77726.5632</v>
      </c>
      <c r="G11" s="45" t="n">
        <f aca="false">G9-G10</f>
        <v>89018.505576</v>
      </c>
      <c r="H11" s="45" t="n">
        <f aca="false">H9-H10</f>
        <v>90680.9904</v>
      </c>
      <c r="I11" s="45" t="n">
        <f aca="false">I9-I10</f>
        <v>93703.69008</v>
      </c>
      <c r="J11" s="45" t="n">
        <f aca="false">J9-J10</f>
        <v>91918.857888</v>
      </c>
      <c r="K11" s="45" t="n">
        <f aca="false">K9-K10</f>
        <v>86362.848</v>
      </c>
      <c r="L11" s="45" t="n">
        <f aca="false">L9-L10</f>
        <v>89241.6096</v>
      </c>
      <c r="M11" s="45" t="n">
        <f aca="false">M9-M10</f>
        <v>84635.59104</v>
      </c>
      <c r="N11" s="45" t="n">
        <f aca="false">N9-N10</f>
        <v>91026.441792</v>
      </c>
      <c r="O11" s="45" t="n">
        <f aca="false">O9-O10</f>
        <v>85208.781262176</v>
      </c>
      <c r="P11" s="45" t="n">
        <f aca="false">P9-P10</f>
        <v>81482.8058808192</v>
      </c>
      <c r="Q11" s="45" t="n">
        <f aca="false">Q9-Q10</f>
        <v>94676.42362464</v>
      </c>
      <c r="R11" s="45" t="n">
        <f aca="false">R9-R10</f>
        <v>91622.3454432</v>
      </c>
      <c r="S11" s="45" t="n">
        <f aca="false">S9-S10</f>
        <v>99410.244805872</v>
      </c>
      <c r="T11" s="45" t="n">
        <f aca="false">T9-T10</f>
        <v>96203.46271536</v>
      </c>
      <c r="U11" s="45" t="n">
        <f aca="false">U9-U10</f>
        <v>99410.244805872</v>
      </c>
      <c r="V11" s="45" t="n">
        <f aca="false">V9-V10</f>
        <v>97516.7163333792</v>
      </c>
      <c r="W11" s="45" t="n">
        <f aca="false">W9-W10</f>
        <v>91622.3454432</v>
      </c>
      <c r="X11" s="45" t="n">
        <f aca="false">X9-X10</f>
        <v>94676.42362464</v>
      </c>
      <c r="Y11" s="45" t="n">
        <f aca="false">Y9-Y10</f>
        <v>89789.898534336</v>
      </c>
      <c r="Z11" s="45" t="n">
        <f aca="false">Z9-Z10</f>
        <v>96569.9520971328</v>
      </c>
      <c r="AA11" s="45" t="n">
        <f aca="false">AA9-AA10</f>
        <v>89520.3455940421</v>
      </c>
      <c r="AB11" s="45" t="n">
        <f aca="false">AB9-AB10</f>
        <v>82653.9104839615</v>
      </c>
      <c r="AC11" s="45" t="n">
        <f aca="false">AC9-AC10</f>
        <v>99467.0506600468</v>
      </c>
      <c r="AD11" s="45" t="n">
        <f aca="false">AD9-AD10</f>
        <v>96258.4361226259</v>
      </c>
      <c r="AE11" s="45" t="n">
        <f aca="false">AE9-AE10</f>
        <v>104440.403193049</v>
      </c>
      <c r="AF11" s="45" t="n">
        <f aca="false">AF9-AF10</f>
        <v>101071.357928757</v>
      </c>
      <c r="AG11" s="45" t="n">
        <f aca="false">AG9-AG10</f>
        <v>104440.403193049</v>
      </c>
      <c r="AH11" s="45" t="n">
        <f aca="false">AH9-AH10</f>
        <v>102451.062179848</v>
      </c>
      <c r="AI11" s="45" t="n">
        <f aca="false">AI9-AI10</f>
        <v>96258.4361226259</v>
      </c>
      <c r="AJ11" s="45" t="n">
        <f aca="false">AJ9-AJ10</f>
        <v>99467.0506600468</v>
      </c>
      <c r="AK11" s="45" t="n">
        <f aca="false">AK9-AK10</f>
        <v>94333.2674001734</v>
      </c>
      <c r="AL11" s="45" t="n">
        <f aca="false">AL9-AL10</f>
        <v>101456.391673248</v>
      </c>
      <c r="AM11" s="46" t="n">
        <f aca="false">SUMIF($C$5:$AL$5,AM$5,$C11:$AL11)</f>
        <v>977994.481464</v>
      </c>
      <c r="AN11" s="46" t="n">
        <f aca="false">SUMIF($C$5:$AL$5,AN$5,$C11:$AL11)</f>
        <v>1118189.64457063</v>
      </c>
      <c r="AO11" s="46" t="n">
        <f aca="false">SUMIF($C$5:$AL$5,AO$5,$C11:$AL11)</f>
        <v>1171818.11521147</v>
      </c>
    </row>
    <row r="12" customFormat="false" ht="15" hidden="false" customHeight="false" outlineLevel="0" collapsed="false">
      <c r="A12" s="7" t="s">
        <v>276</v>
      </c>
      <c r="B12" s="2"/>
      <c r="C12" s="48" t="n">
        <f aca="false">Labor!C18</f>
        <v>47447.6704285714</v>
      </c>
      <c r="D12" s="48" t="n">
        <f aca="false">Labor!D18</f>
        <v>44021.787</v>
      </c>
      <c r="E12" s="48" t="n">
        <f aca="false">Labor!E18</f>
        <v>47447.6704285714</v>
      </c>
      <c r="F12" s="48" t="n">
        <f aca="false">Labor!F18</f>
        <v>46305.7092857143</v>
      </c>
      <c r="G12" s="48" t="n">
        <f aca="false">Labor!G18</f>
        <v>47447.6704285714</v>
      </c>
      <c r="H12" s="48" t="n">
        <f aca="false">Labor!H18</f>
        <v>46305.7092857143</v>
      </c>
      <c r="I12" s="48" t="n">
        <f aca="false">Labor!I18</f>
        <v>47447.6704285714</v>
      </c>
      <c r="J12" s="48" t="n">
        <f aca="false">Labor!J18</f>
        <v>47447.6704285714</v>
      </c>
      <c r="K12" s="48" t="n">
        <f aca="false">Labor!K18</f>
        <v>46305.7092857143</v>
      </c>
      <c r="L12" s="48" t="n">
        <f aca="false">Labor!L18</f>
        <v>47447.6704285714</v>
      </c>
      <c r="M12" s="48" t="n">
        <f aca="false">Labor!M18</f>
        <v>46305.7092857143</v>
      </c>
      <c r="N12" s="48" t="n">
        <f aca="false">Labor!N18</f>
        <v>47447.6704285714</v>
      </c>
      <c r="O12" s="48" t="n">
        <f aca="false">Labor!O18</f>
        <v>48871.1005414286</v>
      </c>
      <c r="P12" s="48" t="n">
        <f aca="false">Labor!P18</f>
        <v>46518.6605871429</v>
      </c>
      <c r="Q12" s="48" t="n">
        <f aca="false">Labor!Q18</f>
        <v>48871.1005414286</v>
      </c>
      <c r="R12" s="48" t="n">
        <f aca="false">Labor!R18</f>
        <v>47694.8805642857</v>
      </c>
      <c r="S12" s="48" t="n">
        <f aca="false">Labor!S18</f>
        <v>48871.1005414286</v>
      </c>
      <c r="T12" s="48" t="n">
        <f aca="false">Labor!T18</f>
        <v>47694.8805642857</v>
      </c>
      <c r="U12" s="48" t="n">
        <f aca="false">Labor!U18</f>
        <v>48871.1005414286</v>
      </c>
      <c r="V12" s="48" t="n">
        <f aca="false">Labor!V18</f>
        <v>48871.1005414286</v>
      </c>
      <c r="W12" s="48" t="n">
        <f aca="false">Labor!W18</f>
        <v>47694.8805642857</v>
      </c>
      <c r="X12" s="48" t="n">
        <f aca="false">Labor!X18</f>
        <v>48871.1005414286</v>
      </c>
      <c r="Y12" s="48" t="n">
        <f aca="false">Labor!Y18</f>
        <v>47694.8805642857</v>
      </c>
      <c r="Z12" s="48" t="n">
        <f aca="false">Labor!Z18</f>
        <v>48871.1005414286</v>
      </c>
      <c r="AA12" s="48" t="n">
        <f aca="false">Labor!AA18</f>
        <v>50337.2335576714</v>
      </c>
      <c r="AB12" s="48" t="n">
        <f aca="false">Labor!AB18</f>
        <v>46702.7138283</v>
      </c>
      <c r="AC12" s="48" t="n">
        <f aca="false">Labor!AC18</f>
        <v>50337.2335576714</v>
      </c>
      <c r="AD12" s="48" t="n">
        <f aca="false">Labor!AD18</f>
        <v>49125.7269812143</v>
      </c>
      <c r="AE12" s="48" t="n">
        <f aca="false">Labor!AE18</f>
        <v>50337.2335576714</v>
      </c>
      <c r="AF12" s="48" t="n">
        <f aca="false">Labor!AF18</f>
        <v>49125.7269812143</v>
      </c>
      <c r="AG12" s="48" t="n">
        <f aca="false">Labor!AG18</f>
        <v>50337.2335576714</v>
      </c>
      <c r="AH12" s="48" t="n">
        <f aca="false">Labor!AH18</f>
        <v>50337.2335576714</v>
      </c>
      <c r="AI12" s="48" t="n">
        <f aca="false">Labor!AI18</f>
        <v>49125.7269812143</v>
      </c>
      <c r="AJ12" s="48" t="n">
        <f aca="false">Labor!AJ18</f>
        <v>50337.2335576714</v>
      </c>
      <c r="AK12" s="48" t="n">
        <f aca="false">Labor!AK18</f>
        <v>49125.7269812143</v>
      </c>
      <c r="AL12" s="48" t="n">
        <f aca="false">Labor!AL18</f>
        <v>50337.2335576714</v>
      </c>
      <c r="AM12" s="44" t="n">
        <f aca="false">SUMIF($C$5:$AL$5,AM$5,$C12:$AL12)</f>
        <v>561378.317142857</v>
      </c>
      <c r="AN12" s="44" t="n">
        <f aca="false">SUMIF($C$5:$AL$5,AN$5,$C12:$AL12)</f>
        <v>579395.886634286</v>
      </c>
      <c r="AO12" s="44" t="n">
        <f aca="false">SUMIF($C$5:$AL$5,AO$5,$C12:$AL12)</f>
        <v>595566.256656857</v>
      </c>
    </row>
    <row r="13" customFormat="false" ht="15" hidden="false" customHeight="false" outlineLevel="0" collapsed="false">
      <c r="A13" s="7" t="s">
        <v>277</v>
      </c>
      <c r="B13" s="2"/>
      <c r="C13" s="28" t="n">
        <f aca="false">C10+C12</f>
        <v>68257.1912125714</v>
      </c>
      <c r="D13" s="28" t="n">
        <f aca="false">D10+D12</f>
        <v>66191.069688</v>
      </c>
      <c r="E13" s="28" t="n">
        <f aca="false">E10+E12</f>
        <v>77683.7262685714</v>
      </c>
      <c r="F13" s="28" t="n">
        <f aca="false">F10+F12</f>
        <v>77287.6260857143</v>
      </c>
      <c r="G13" s="28" t="n">
        <f aca="false">G10+G12</f>
        <v>82930.5712525714</v>
      </c>
      <c r="H13" s="28" t="n">
        <f aca="false">H10+H12</f>
        <v>82451.2788857143</v>
      </c>
      <c r="I13" s="28" t="n">
        <f aca="false">I10+I12</f>
        <v>84798.0923485714</v>
      </c>
      <c r="J13" s="28" t="n">
        <f aca="false">J10+J12</f>
        <v>84086.6557405714</v>
      </c>
      <c r="K13" s="28" t="n">
        <f aca="false">K10+K12</f>
        <v>80730.0612857143</v>
      </c>
      <c r="L13" s="28" t="n">
        <f aca="false">L10+L12</f>
        <v>83019.5008285714</v>
      </c>
      <c r="M13" s="28" t="n">
        <f aca="false">M10+M12</f>
        <v>80041.5742457143</v>
      </c>
      <c r="N13" s="28" t="n">
        <f aca="false">N10+N12</f>
        <v>83730.9374365714</v>
      </c>
      <c r="O13" s="28" t="n">
        <f aca="false">O10+O12</f>
        <v>82835.4399256526</v>
      </c>
      <c r="P13" s="28" t="n">
        <f aca="false">P10+P12</f>
        <v>78997.8209732037</v>
      </c>
      <c r="Q13" s="28" t="n">
        <f aca="false">Q10+Q12</f>
        <v>86609.2554127886</v>
      </c>
      <c r="R13" s="28" t="n">
        <f aca="false">R10+R12</f>
        <v>84215.6756010857</v>
      </c>
      <c r="S13" s="28" t="n">
        <f aca="false">S10+S12</f>
        <v>88496.1631563566</v>
      </c>
      <c r="T13" s="28" t="n">
        <f aca="false">T10+T12</f>
        <v>86041.7153529257</v>
      </c>
      <c r="U13" s="28" t="n">
        <f aca="false">U10+U12</f>
        <v>88496.1631563566</v>
      </c>
      <c r="V13" s="28" t="n">
        <f aca="false">V10+V12</f>
        <v>87741.4000589294</v>
      </c>
      <c r="W13" s="28" t="n">
        <f aca="false">W10+W12</f>
        <v>84215.6756010857</v>
      </c>
      <c r="X13" s="28" t="n">
        <f aca="false">X10+X12</f>
        <v>86609.2554127886</v>
      </c>
      <c r="Y13" s="28" t="n">
        <f aca="false">Y10+Y12</f>
        <v>83485.2597003497</v>
      </c>
      <c r="Z13" s="28" t="n">
        <f aca="false">Z10+Z12</f>
        <v>87364.0185102158</v>
      </c>
      <c r="AA13" s="28" t="n">
        <f aca="false">AA10+AA12</f>
        <v>86020.1685147372</v>
      </c>
      <c r="AB13" s="28" t="n">
        <f aca="false">AB10+AB12</f>
        <v>79648.6781470818</v>
      </c>
      <c r="AC13" s="28" t="n">
        <f aca="false">AC10+AC12</f>
        <v>89984.9390655223</v>
      </c>
      <c r="AD13" s="28" t="n">
        <f aca="false">AD10+AD12</f>
        <v>87494.4742468763</v>
      </c>
      <c r="AE13" s="28" t="n">
        <f aca="false">AE10+AE12</f>
        <v>91967.3243409148</v>
      </c>
      <c r="AF13" s="28" t="n">
        <f aca="false">AF10+AF12</f>
        <v>89412.9116101595</v>
      </c>
      <c r="AG13" s="28" t="n">
        <f aca="false">AG10+AG12</f>
        <v>91967.3243409148</v>
      </c>
      <c r="AH13" s="28" t="n">
        <f aca="false">AH10+AH12</f>
        <v>91174.3702307578</v>
      </c>
      <c r="AI13" s="28" t="n">
        <f aca="false">AI10+AI12</f>
        <v>87494.4742468763</v>
      </c>
      <c r="AJ13" s="28" t="n">
        <f aca="false">AJ10+AJ12</f>
        <v>89984.9390655223</v>
      </c>
      <c r="AK13" s="28" t="n">
        <f aca="false">AK10+AK12</f>
        <v>86727.0993015631</v>
      </c>
      <c r="AL13" s="28" t="n">
        <f aca="false">AL10+AL12</f>
        <v>90777.8931756793</v>
      </c>
      <c r="AM13" s="44" t="n">
        <f aca="false">SUMIF($C$5:$AL$5,AM$5,$C13:$AL13)</f>
        <v>951208.285278857</v>
      </c>
      <c r="AN13" s="44" t="n">
        <f aca="false">SUMIF($C$5:$AL$5,AN$5,$C13:$AL13)</f>
        <v>1025107.84286174</v>
      </c>
      <c r="AO13" s="44" t="n">
        <f aca="false">SUMIF($C$5:$AL$5,AO$5,$C13:$AL13)</f>
        <v>1062654.59628661</v>
      </c>
    </row>
    <row r="14" customFormat="false" ht="15" hidden="false" customHeight="false" outlineLevel="0" collapsed="false">
      <c r="A14" s="7" t="s">
        <v>278</v>
      </c>
      <c r="B14" s="2"/>
      <c r="C14" s="48" t="n">
        <f aca="false">OpEx!C14</f>
        <v>9000</v>
      </c>
      <c r="D14" s="48" t="n">
        <f aca="false">OpEx!D14</f>
        <v>9000</v>
      </c>
      <c r="E14" s="48" t="n">
        <f aca="false">OpEx!E14</f>
        <v>9000</v>
      </c>
      <c r="F14" s="48" t="n">
        <f aca="false">OpEx!F14</f>
        <v>9000</v>
      </c>
      <c r="G14" s="48" t="n">
        <f aca="false">OpEx!G14</f>
        <v>9000</v>
      </c>
      <c r="H14" s="48" t="n">
        <f aca="false">OpEx!H14</f>
        <v>9000</v>
      </c>
      <c r="I14" s="48" t="n">
        <f aca="false">OpEx!I14</f>
        <v>9000</v>
      </c>
      <c r="J14" s="48" t="n">
        <f aca="false">OpEx!J14</f>
        <v>9000</v>
      </c>
      <c r="K14" s="48" t="n">
        <f aca="false">OpEx!K14</f>
        <v>9000</v>
      </c>
      <c r="L14" s="48" t="n">
        <f aca="false">OpEx!L14</f>
        <v>9000</v>
      </c>
      <c r="M14" s="48" t="n">
        <f aca="false">OpEx!M14</f>
        <v>9000</v>
      </c>
      <c r="N14" s="48" t="n">
        <f aca="false">OpEx!N14</f>
        <v>9000</v>
      </c>
      <c r="O14" s="48" t="n">
        <f aca="false">OpEx!O14</f>
        <v>9270</v>
      </c>
      <c r="P14" s="48" t="n">
        <f aca="false">OpEx!P14</f>
        <v>9270</v>
      </c>
      <c r="Q14" s="48" t="n">
        <f aca="false">OpEx!Q14</f>
        <v>9270</v>
      </c>
      <c r="R14" s="48" t="n">
        <f aca="false">OpEx!R14</f>
        <v>9270</v>
      </c>
      <c r="S14" s="48" t="n">
        <f aca="false">OpEx!S14</f>
        <v>9270</v>
      </c>
      <c r="T14" s="48" t="n">
        <f aca="false">OpEx!T14</f>
        <v>9270</v>
      </c>
      <c r="U14" s="48" t="n">
        <f aca="false">OpEx!U14</f>
        <v>9270</v>
      </c>
      <c r="V14" s="48" t="n">
        <f aca="false">OpEx!V14</f>
        <v>9270</v>
      </c>
      <c r="W14" s="48" t="n">
        <f aca="false">OpEx!W14</f>
        <v>9270</v>
      </c>
      <c r="X14" s="48" t="n">
        <f aca="false">OpEx!X14</f>
        <v>9270</v>
      </c>
      <c r="Y14" s="48" t="n">
        <f aca="false">OpEx!Y14</f>
        <v>9270</v>
      </c>
      <c r="Z14" s="48" t="n">
        <f aca="false">OpEx!Z14</f>
        <v>9270</v>
      </c>
      <c r="AA14" s="48" t="n">
        <f aca="false">OpEx!AA14</f>
        <v>9548.1</v>
      </c>
      <c r="AB14" s="48" t="n">
        <f aca="false">OpEx!AB14</f>
        <v>9548.1</v>
      </c>
      <c r="AC14" s="48" t="n">
        <f aca="false">OpEx!AC14</f>
        <v>9548.1</v>
      </c>
      <c r="AD14" s="48" t="n">
        <f aca="false">OpEx!AD14</f>
        <v>9548.1</v>
      </c>
      <c r="AE14" s="48" t="n">
        <f aca="false">OpEx!AE14</f>
        <v>9548.1</v>
      </c>
      <c r="AF14" s="48" t="n">
        <f aca="false">OpEx!AF14</f>
        <v>9548.1</v>
      </c>
      <c r="AG14" s="48" t="n">
        <f aca="false">OpEx!AG14</f>
        <v>9548.1</v>
      </c>
      <c r="AH14" s="48" t="n">
        <f aca="false">OpEx!AH14</f>
        <v>9548.1</v>
      </c>
      <c r="AI14" s="48" t="n">
        <f aca="false">OpEx!AI14</f>
        <v>9548.1</v>
      </c>
      <c r="AJ14" s="48" t="n">
        <f aca="false">OpEx!AJ14</f>
        <v>9548.1</v>
      </c>
      <c r="AK14" s="48" t="n">
        <f aca="false">OpEx!AK14</f>
        <v>9548.1</v>
      </c>
      <c r="AL14" s="48" t="n">
        <f aca="false">OpEx!AL14</f>
        <v>9548.1</v>
      </c>
      <c r="AM14" s="44" t="n">
        <f aca="false">SUMIF($C$5:$AL$5,AM$5,$C14:$AL14)</f>
        <v>108000</v>
      </c>
      <c r="AN14" s="44" t="n">
        <f aca="false">SUMIF($C$5:$AL$5,AN$5,$C14:$AL14)</f>
        <v>111240</v>
      </c>
      <c r="AO14" s="44" t="n">
        <f aca="false">SUMIF($C$5:$AL$5,AO$5,$C14:$AL14)</f>
        <v>114577.2</v>
      </c>
    </row>
    <row r="15" customFormat="false" ht="15" hidden="false" customHeight="false" outlineLevel="0" collapsed="false">
      <c r="A15" s="7" t="s">
        <v>260</v>
      </c>
      <c r="B15" s="2"/>
      <c r="C15" s="48" t="n">
        <f aca="false">OpEx!C27</f>
        <v>13110.3165792</v>
      </c>
      <c r="D15" s="48" t="n">
        <f aca="false">OpEx!D27</f>
        <v>13506.3174144</v>
      </c>
      <c r="E15" s="48" t="n">
        <f aca="false">OpEx!E27</f>
        <v>15855.588192</v>
      </c>
      <c r="F15" s="48" t="n">
        <f aca="false">OpEx!F27</f>
        <v>16072.80384</v>
      </c>
      <c r="G15" s="48" t="n">
        <f aca="false">OpEx!G27</f>
        <v>17383.6167312</v>
      </c>
      <c r="H15" s="48" t="n">
        <f aca="false">OpEx!H27</f>
        <v>17576.60448</v>
      </c>
      <c r="I15" s="48" t="n">
        <f aca="false">OpEx!I27</f>
        <v>17927.491296</v>
      </c>
      <c r="J15" s="48" t="n">
        <f aca="false">OpEx!J27</f>
        <v>17720.3009856</v>
      </c>
      <c r="K15" s="48" t="n">
        <f aca="false">OpEx!K27</f>
        <v>17075.3376</v>
      </c>
      <c r="L15" s="48" t="n">
        <f aca="false">OpEx!L27</f>
        <v>17409.51552</v>
      </c>
      <c r="M15" s="48" t="n">
        <f aca="false">OpEx!M27</f>
        <v>16874.830848</v>
      </c>
      <c r="N15" s="48" t="n">
        <f aca="false">OpEx!N27</f>
        <v>17616.7058304</v>
      </c>
      <c r="O15" s="48" t="n">
        <f aca="false">OpEx!O27</f>
        <v>17152.8690136512</v>
      </c>
      <c r="P15" s="48" t="n">
        <f aca="false">OpEx!P27</f>
        <v>16720.343200151</v>
      </c>
      <c r="Q15" s="48" t="n">
        <f aca="false">OpEx!Q27</f>
        <v>18251.910015168</v>
      </c>
      <c r="R15" s="48" t="n">
        <f aca="false">OpEx!R27</f>
        <v>17897.38065984</v>
      </c>
      <c r="S15" s="48" t="n">
        <f aca="false">OpEx!S27</f>
        <v>18801.4305159264</v>
      </c>
      <c r="T15" s="48" t="n">
        <f aca="false">OpEx!T27</f>
        <v>18429.174692832</v>
      </c>
      <c r="U15" s="48" t="n">
        <f aca="false">OpEx!U27</f>
        <v>18801.4305159264</v>
      </c>
      <c r="V15" s="48" t="n">
        <f aca="false">OpEx!V27</f>
        <v>18581.622315623</v>
      </c>
      <c r="W15" s="48" t="n">
        <f aca="false">OpEx!W27</f>
        <v>17897.38065984</v>
      </c>
      <c r="X15" s="48" t="n">
        <f aca="false">OpEx!X27</f>
        <v>18251.910015168</v>
      </c>
      <c r="Y15" s="48" t="n">
        <f aca="false">OpEx!Y27</f>
        <v>17684.6630466432</v>
      </c>
      <c r="Z15" s="48" t="n">
        <f aca="false">OpEx!Z27</f>
        <v>18471.7182154714</v>
      </c>
      <c r="AA15" s="48" t="n">
        <f aca="false">OpEx!AA27</f>
        <v>17871.217285742</v>
      </c>
      <c r="AB15" s="48" t="n">
        <f aca="false">OpEx!AB27</f>
        <v>17074.1346086277</v>
      </c>
      <c r="AC15" s="48" t="n">
        <f aca="false">OpEx!AC27</f>
        <v>19025.8697619355</v>
      </c>
      <c r="AD15" s="48" t="n">
        <f aca="false">OpEx!AD27</f>
        <v>18653.4012212279</v>
      </c>
      <c r="AE15" s="48" t="n">
        <f aca="false">OpEx!AE27</f>
        <v>19603.1960000323</v>
      </c>
      <c r="AF15" s="48" t="n">
        <f aca="false">OpEx!AF27</f>
        <v>19212.1040322893</v>
      </c>
      <c r="AG15" s="48" t="n">
        <f aca="false">OpEx!AG27</f>
        <v>19603.1960000323</v>
      </c>
      <c r="AH15" s="48" t="n">
        <f aca="false">OpEx!AH27</f>
        <v>19372.2655047936</v>
      </c>
      <c r="AI15" s="48" t="n">
        <f aca="false">OpEx!AI27</f>
        <v>18653.4012212279</v>
      </c>
      <c r="AJ15" s="48" t="n">
        <f aca="false">OpEx!AJ27</f>
        <v>19025.8697619355</v>
      </c>
      <c r="AK15" s="48" t="n">
        <f aca="false">OpEx!AK27</f>
        <v>18429.9200968033</v>
      </c>
      <c r="AL15" s="48" t="n">
        <f aca="false">OpEx!AL27</f>
        <v>19256.8002571742</v>
      </c>
      <c r="AM15" s="44" t="n">
        <f aca="false">SUMIF($C$5:$AL$5,AM$5,$C15:$AL15)</f>
        <v>198129.4293168</v>
      </c>
      <c r="AN15" s="44" t="n">
        <f aca="false">SUMIF($C$5:$AL$5,AN$5,$C15:$AL15)</f>
        <v>216941.832866241</v>
      </c>
      <c r="AO15" s="44" t="n">
        <f aca="false">SUMIF($C$5:$AL$5,AO$5,$C15:$AL15)</f>
        <v>225781.375751821</v>
      </c>
    </row>
    <row r="16" customFormat="false" ht="15" hidden="false" customHeight="false" outlineLevel="0" collapsed="false">
      <c r="A16" s="40" t="s">
        <v>279</v>
      </c>
      <c r="B16" s="41"/>
      <c r="C16" s="45" t="n">
        <f aca="false">C11-C12-C14-C15</f>
        <v>-17351.6453917714</v>
      </c>
      <c r="D16" s="45" t="n">
        <f aca="false">D11-D12-D14-D15</f>
        <v>-10910.4303024</v>
      </c>
      <c r="E16" s="45" t="n">
        <f aca="false">E11-E12-E14-E15</f>
        <v>3552.10953942857</v>
      </c>
      <c r="F16" s="45" t="n">
        <f aca="false">F11-F12-F14-F15</f>
        <v>6348.05007428572</v>
      </c>
      <c r="G16" s="45" t="n">
        <f aca="false">G11-G12-G14-G15</f>
        <v>15187.2184162286</v>
      </c>
      <c r="H16" s="45" t="n">
        <f aca="false">H11-H12-H14-H15</f>
        <v>17798.6766342857</v>
      </c>
      <c r="I16" s="45" t="n">
        <f aca="false">I11-I12-I14-I15</f>
        <v>19328.5283554286</v>
      </c>
      <c r="J16" s="45" t="n">
        <f aca="false">J11-J12-J14-J15</f>
        <v>17750.8864738286</v>
      </c>
      <c r="K16" s="45" t="n">
        <f aca="false">K11-K12-K14-K15</f>
        <v>13981.8011142857</v>
      </c>
      <c r="L16" s="45" t="n">
        <f aca="false">L11-L12-L14-L15</f>
        <v>15384.4236514286</v>
      </c>
      <c r="M16" s="45" t="n">
        <f aca="false">M11-M12-M14-M15</f>
        <v>12455.0509062857</v>
      </c>
      <c r="N16" s="45" t="n">
        <f aca="false">N11-N12-N14-N15</f>
        <v>16962.0655330286</v>
      </c>
      <c r="O16" s="45" t="n">
        <f aca="false">O11-O12-O14-O15</f>
        <v>9914.81170709624</v>
      </c>
      <c r="P16" s="45" t="n">
        <f aca="false">P11-P12-P14-P15</f>
        <v>8973.80209352532</v>
      </c>
      <c r="Q16" s="45" t="n">
        <f aca="false">Q11-Q12-Q14-Q15</f>
        <v>18283.4130680434</v>
      </c>
      <c r="R16" s="45" t="n">
        <f aca="false">R11-R12-R14-R15</f>
        <v>16760.0842190743</v>
      </c>
      <c r="S16" s="45" t="n">
        <f aca="false">S11-S12-S14-S15</f>
        <v>22467.713748517</v>
      </c>
      <c r="T16" s="45" t="n">
        <f aca="false">T11-T12-T14-T15</f>
        <v>20809.4074582423</v>
      </c>
      <c r="U16" s="45" t="n">
        <f aca="false">U11-U12-U14-U15</f>
        <v>22467.713748517</v>
      </c>
      <c r="V16" s="45" t="n">
        <f aca="false">V11-V12-V14-V15</f>
        <v>20793.9934763276</v>
      </c>
      <c r="W16" s="45" t="n">
        <f aca="false">W11-W12-W14-W15</f>
        <v>16760.0842190743</v>
      </c>
      <c r="X16" s="45" t="n">
        <f aca="false">X11-X12-X14-X15</f>
        <v>18283.4130680434</v>
      </c>
      <c r="Y16" s="45" t="n">
        <f aca="false">Y11-Y12-Y14-Y15</f>
        <v>15140.3549234071</v>
      </c>
      <c r="Z16" s="45" t="n">
        <f aca="false">Z11-Z12-Z14-Z15</f>
        <v>19957.1333402329</v>
      </c>
      <c r="AA16" s="45" t="n">
        <f aca="false">AA11-AA12-AA14-AA15</f>
        <v>11763.7947506287</v>
      </c>
      <c r="AB16" s="45" t="n">
        <f aca="false">AB11-AB12-AB14-AB15</f>
        <v>9328.96204703377</v>
      </c>
      <c r="AC16" s="45" t="n">
        <f aca="false">AC11-AC12-AC14-AC15</f>
        <v>20555.8473404399</v>
      </c>
      <c r="AD16" s="45" t="n">
        <f aca="false">AD11-AD12-AD14-AD15</f>
        <v>18931.2079201837</v>
      </c>
      <c r="AE16" s="45" t="n">
        <f aca="false">AE11-AE12-AE14-AE15</f>
        <v>24951.8736353454</v>
      </c>
      <c r="AF16" s="45" t="n">
        <f aca="false">AF11-AF12-AF14-AF15</f>
        <v>23185.4269152536</v>
      </c>
      <c r="AG16" s="45" t="n">
        <f aca="false">AG11-AG12-AG14-AG15</f>
        <v>24951.8736353454</v>
      </c>
      <c r="AH16" s="45" t="n">
        <f aca="false">AH11-AH12-AH14-AH15</f>
        <v>23193.4631173832</v>
      </c>
      <c r="AI16" s="45" t="n">
        <f aca="false">AI11-AI12-AI14-AI15</f>
        <v>18931.2079201837</v>
      </c>
      <c r="AJ16" s="45" t="n">
        <f aca="false">AJ11-AJ12-AJ14-AJ15</f>
        <v>20555.8473404399</v>
      </c>
      <c r="AK16" s="45" t="n">
        <f aca="false">AK11-AK12-AK14-AK15</f>
        <v>17229.5203221558</v>
      </c>
      <c r="AL16" s="45" t="n">
        <f aca="false">AL11-AL12-AL14-AL15</f>
        <v>22314.2578584021</v>
      </c>
      <c r="AM16" s="46" t="n">
        <f aca="false">SUMIF($C$5:$AL$5,AM$5,$C16:$AL16)</f>
        <v>110486.735004343</v>
      </c>
      <c r="AN16" s="46" t="n">
        <f aca="false">SUMIF($C$5:$AL$5,AN$5,$C16:$AL16)</f>
        <v>210611.925070101</v>
      </c>
      <c r="AO16" s="46" t="n">
        <f aca="false">SUMIF($C$5:$AL$5,AO$5,$C16:$AL16)</f>
        <v>235893.282802795</v>
      </c>
    </row>
    <row r="17" customFormat="false" ht="15" hidden="false" customHeight="false" outlineLevel="0" collapsed="false">
      <c r="A17" s="7" t="s">
        <v>280</v>
      </c>
      <c r="B17" s="2"/>
      <c r="C17" s="28" t="n">
        <f aca="false">Assumptions!$C$112</f>
        <v>6267.85714285714</v>
      </c>
      <c r="D17" s="28" t="n">
        <f aca="false">Assumptions!$C$112</f>
        <v>6267.85714285714</v>
      </c>
      <c r="E17" s="28" t="n">
        <f aca="false">Assumptions!$C$112</f>
        <v>6267.85714285714</v>
      </c>
      <c r="F17" s="28" t="n">
        <f aca="false">Assumptions!$C$112</f>
        <v>6267.85714285714</v>
      </c>
      <c r="G17" s="28" t="n">
        <f aca="false">Assumptions!$C$112</f>
        <v>6267.85714285714</v>
      </c>
      <c r="H17" s="28" t="n">
        <f aca="false">Assumptions!$C$112</f>
        <v>6267.85714285714</v>
      </c>
      <c r="I17" s="28" t="n">
        <f aca="false">Assumptions!$C$112</f>
        <v>6267.85714285714</v>
      </c>
      <c r="J17" s="28" t="n">
        <f aca="false">Assumptions!$C$112</f>
        <v>6267.85714285714</v>
      </c>
      <c r="K17" s="28" t="n">
        <f aca="false">Assumptions!$C$112</f>
        <v>6267.85714285714</v>
      </c>
      <c r="L17" s="28" t="n">
        <f aca="false">Assumptions!$C$112</f>
        <v>6267.85714285714</v>
      </c>
      <c r="M17" s="28" t="n">
        <f aca="false">Assumptions!$C$112</f>
        <v>6267.85714285714</v>
      </c>
      <c r="N17" s="28" t="n">
        <f aca="false">Assumptions!$C$112</f>
        <v>6267.85714285714</v>
      </c>
      <c r="O17" s="28" t="n">
        <f aca="false">Assumptions!$C$112</f>
        <v>6267.85714285714</v>
      </c>
      <c r="P17" s="28" t="n">
        <f aca="false">Assumptions!$C$112</f>
        <v>6267.85714285714</v>
      </c>
      <c r="Q17" s="28" t="n">
        <f aca="false">Assumptions!$C$112</f>
        <v>6267.85714285714</v>
      </c>
      <c r="R17" s="28" t="n">
        <f aca="false">Assumptions!$C$112</f>
        <v>6267.85714285714</v>
      </c>
      <c r="S17" s="28" t="n">
        <f aca="false">Assumptions!$C$112</f>
        <v>6267.85714285714</v>
      </c>
      <c r="T17" s="28" t="n">
        <f aca="false">Assumptions!$C$112</f>
        <v>6267.85714285714</v>
      </c>
      <c r="U17" s="28" t="n">
        <f aca="false">Assumptions!$C$112</f>
        <v>6267.85714285714</v>
      </c>
      <c r="V17" s="28" t="n">
        <f aca="false">Assumptions!$C$112</f>
        <v>6267.85714285714</v>
      </c>
      <c r="W17" s="28" t="n">
        <f aca="false">Assumptions!$C$112</f>
        <v>6267.85714285714</v>
      </c>
      <c r="X17" s="28" t="n">
        <f aca="false">Assumptions!$C$112</f>
        <v>6267.85714285714</v>
      </c>
      <c r="Y17" s="28" t="n">
        <f aca="false">Assumptions!$C$112</f>
        <v>6267.85714285714</v>
      </c>
      <c r="Z17" s="28" t="n">
        <f aca="false">Assumptions!$C$112</f>
        <v>6267.85714285714</v>
      </c>
      <c r="AA17" s="28" t="n">
        <f aca="false">Assumptions!$C$112</f>
        <v>6267.85714285714</v>
      </c>
      <c r="AB17" s="28" t="n">
        <f aca="false">Assumptions!$C$112</f>
        <v>6267.85714285714</v>
      </c>
      <c r="AC17" s="28" t="n">
        <f aca="false">Assumptions!$C$112</f>
        <v>6267.85714285714</v>
      </c>
      <c r="AD17" s="28" t="n">
        <f aca="false">Assumptions!$C$112</f>
        <v>6267.85714285714</v>
      </c>
      <c r="AE17" s="28" t="n">
        <f aca="false">Assumptions!$C$112</f>
        <v>6267.85714285714</v>
      </c>
      <c r="AF17" s="28" t="n">
        <f aca="false">Assumptions!$C$112</f>
        <v>6267.85714285714</v>
      </c>
      <c r="AG17" s="28" t="n">
        <f aca="false">Assumptions!$C$112</f>
        <v>6267.85714285714</v>
      </c>
      <c r="AH17" s="28" t="n">
        <f aca="false">Assumptions!$C$112</f>
        <v>6267.85714285714</v>
      </c>
      <c r="AI17" s="28" t="n">
        <f aca="false">Assumptions!$C$112</f>
        <v>6267.85714285714</v>
      </c>
      <c r="AJ17" s="28" t="n">
        <f aca="false">Assumptions!$C$112</f>
        <v>6267.85714285714</v>
      </c>
      <c r="AK17" s="28" t="n">
        <f aca="false">Assumptions!$C$112</f>
        <v>6267.85714285714</v>
      </c>
      <c r="AL17" s="28" t="n">
        <f aca="false">Assumptions!$C$112</f>
        <v>6267.85714285714</v>
      </c>
      <c r="AM17" s="44" t="n">
        <f aca="false">SUMIF($C$5:$AL$5,AM$5,$C17:$AL17)</f>
        <v>75214.2857142857</v>
      </c>
      <c r="AN17" s="44" t="n">
        <f aca="false">SUMIF($C$5:$AL$5,AN$5,$C17:$AL17)</f>
        <v>75214.2857142857</v>
      </c>
      <c r="AO17" s="44" t="n">
        <f aca="false">SUMIF($C$5:$AL$5,AO$5,$C17:$AL17)</f>
        <v>75214.2857142857</v>
      </c>
    </row>
    <row r="18" customFormat="false" ht="15" hidden="false" customHeight="false" outlineLevel="0" collapsed="false">
      <c r="A18" s="7" t="s">
        <v>281</v>
      </c>
      <c r="B18" s="2"/>
      <c r="C18" s="48" t="n">
        <f aca="false">INDEX(Loan!$E$13:$E$372,C4)</f>
        <v>4812.5</v>
      </c>
      <c r="D18" s="48" t="n">
        <f aca="false">INDEX(Loan!$E$13:$E$372,D4)</f>
        <v>4789.67190780177</v>
      </c>
      <c r="E18" s="48" t="n">
        <f aca="false">INDEX(Loan!$E$13:$E$372,E4)</f>
        <v>4766.6440697968</v>
      </c>
      <c r="F18" s="48" t="n">
        <f aca="false">INDEX(Loan!$E$13:$E$372,F4)</f>
        <v>4743.41473820929</v>
      </c>
      <c r="G18" s="48" t="n">
        <f aca="false">INDEX(Loan!$E$13:$E$372,G4)</f>
        <v>4719.98214997039</v>
      </c>
      <c r="H18" s="48" t="n">
        <f aca="false">INDEX(Loan!$E$13:$E$372,H4)</f>
        <v>4696.3445265844</v>
      </c>
      <c r="I18" s="48" t="n">
        <f aca="false">INDEX(Loan!$E$13:$E$372,I4)</f>
        <v>4672.50007399378</v>
      </c>
      <c r="J18" s="48" t="n">
        <f aca="false">INDEX(Loan!$E$13:$E$372,J4)</f>
        <v>4648.446982443</v>
      </c>
      <c r="K18" s="48" t="n">
        <f aca="false">INDEX(Loan!$E$13:$E$372,K4)</f>
        <v>4624.18342634114</v>
      </c>
      <c r="L18" s="48" t="n">
        <f aca="false">INDEX(Loan!$E$13:$E$372,L4)</f>
        <v>4599.70756412339</v>
      </c>
      <c r="M18" s="48" t="n">
        <f aca="false">INDEX(Loan!$E$13:$E$372,M4)</f>
        <v>4575.01753811124</v>
      </c>
      <c r="N18" s="48" t="n">
        <f aca="false">INDEX(Loan!$E$13:$E$372,N4)</f>
        <v>4550.11147437148</v>
      </c>
      <c r="O18" s="48" t="n">
        <f aca="false">INDEX(Loan!$E$13:$E$372,O4)</f>
        <v>4524.987482574</v>
      </c>
      <c r="P18" s="48" t="n">
        <f aca="false">INDEX(Loan!$E$13:$E$372,P4)</f>
        <v>4499.64365584829</v>
      </c>
      <c r="Q18" s="48" t="n">
        <f aca="false">INDEX(Loan!$E$13:$E$372,Q4)</f>
        <v>4474.07807063873</v>
      </c>
      <c r="R18" s="48" t="n">
        <f aca="false">INDEX(Loan!$E$13:$E$372,R4)</f>
        <v>4448.28878655859</v>
      </c>
      <c r="S18" s="48" t="n">
        <f aca="false">INDEX(Loan!$E$13:$E$372,S4)</f>
        <v>4422.27384624274</v>
      </c>
      <c r="T18" s="48" t="n">
        <f aca="false">INDEX(Loan!$E$13:$E$372,T4)</f>
        <v>4396.03127519914</v>
      </c>
      <c r="U18" s="48" t="n">
        <f aca="false">INDEX(Loan!$E$13:$E$372,U4)</f>
        <v>4369.5590816589</v>
      </c>
      <c r="V18" s="48" t="n">
        <f aca="false">INDEX(Loan!$E$13:$E$372,V4)</f>
        <v>4342.85525642518</v>
      </c>
      <c r="W18" s="48" t="n">
        <f aca="false">INDEX(Loan!$E$13:$E$372,W4)</f>
        <v>4315.91777272067</v>
      </c>
      <c r="X18" s="48" t="n">
        <f aca="false">INDEX(Loan!$E$13:$E$372,X4)</f>
        <v>4288.74458603374</v>
      </c>
      <c r="Y18" s="48" t="n">
        <f aca="false">INDEX(Loan!$E$13:$E$372,Y4)</f>
        <v>4261.3336339633</v>
      </c>
      <c r="Z18" s="48" t="n">
        <f aca="false">INDEX(Loan!$E$13:$E$372,Z4)</f>
        <v>4233.68283606225</v>
      </c>
      <c r="AA18" s="48" t="n">
        <f aca="false">INDEX(Loan!$E$13:$E$372,AA4)</f>
        <v>4205.79009367956</v>
      </c>
      <c r="AB18" s="48" t="n">
        <f aca="false">INDEX(Loan!$E$13:$E$372,AB4)</f>
        <v>4177.65328980103</v>
      </c>
      <c r="AC18" s="48" t="n">
        <f aca="false">INDEX(Loan!$E$13:$E$372,AC4)</f>
        <v>4149.27028888856</v>
      </c>
      <c r="AD18" s="48" t="n">
        <f aca="false">INDEX(Loan!$E$13:$E$372,AD4)</f>
        <v>4120.6389367181</v>
      </c>
      <c r="AE18" s="48" t="n">
        <f aca="false">INDEX(Loan!$E$13:$E$372,AE4)</f>
        <v>4091.75706021615</v>
      </c>
      <c r="AF18" s="48" t="n">
        <f aca="false">INDEX(Loan!$E$13:$E$372,AF4)</f>
        <v>4062.62246729481</v>
      </c>
      <c r="AG18" s="48" t="n">
        <f aca="false">INDEX(Loan!$E$13:$E$372,AG4)</f>
        <v>4033.23294668541</v>
      </c>
      <c r="AH18" s="48" t="n">
        <f aca="false">INDEX(Loan!$E$13:$E$372,AH4)</f>
        <v>4003.58626777067</v>
      </c>
      <c r="AI18" s="48" t="n">
        <f aca="false">INDEX(Loan!$E$13:$E$372,AI4)</f>
        <v>3973.68018041543</v>
      </c>
      <c r="AJ18" s="48" t="n">
        <f aca="false">INDEX(Loan!$E$13:$E$372,AJ4)</f>
        <v>3943.51241479584</v>
      </c>
      <c r="AK18" s="48" t="n">
        <f aca="false">INDEX(Loan!$E$13:$E$372,AK4)</f>
        <v>3913.08068122707</v>
      </c>
      <c r="AL18" s="48" t="n">
        <f aca="false">INDEX(Loan!$E$13:$E$372,AL4)</f>
        <v>3882.38266998957</v>
      </c>
      <c r="AM18" s="44" t="n">
        <f aca="false">SUMIF($C$5:$AL$5,AM$5,$C18:$AL18)</f>
        <v>56198.5244517467</v>
      </c>
      <c r="AN18" s="44" t="n">
        <f aca="false">SUMIF($C$5:$AL$5,AN$5,$C18:$AL18)</f>
        <v>52577.3962839255</v>
      </c>
      <c r="AO18" s="44" t="n">
        <f aca="false">SUMIF($C$5:$AL$5,AO$5,$C18:$AL18)</f>
        <v>48557.2072974822</v>
      </c>
    </row>
    <row r="19" customFormat="false" ht="15" hidden="false" customHeight="false" outlineLevel="0" collapsed="false">
      <c r="A19" s="40" t="s">
        <v>282</v>
      </c>
      <c r="B19" s="41"/>
      <c r="C19" s="45" t="n">
        <f aca="false">C16-C17-C18</f>
        <v>-28432.0025346286</v>
      </c>
      <c r="D19" s="45" t="n">
        <f aca="false">D16-D17-D18</f>
        <v>-21967.9593530589</v>
      </c>
      <c r="E19" s="45" t="n">
        <f aca="false">E16-E17-E18</f>
        <v>-7482.39167322538</v>
      </c>
      <c r="F19" s="45" t="n">
        <f aca="false">F16-F17-F18</f>
        <v>-4663.22180678072</v>
      </c>
      <c r="G19" s="45" t="n">
        <f aca="false">G16-G17-G18</f>
        <v>4199.37912340103</v>
      </c>
      <c r="H19" s="45" t="n">
        <f aca="false">H16-H17-H18</f>
        <v>6834.47496484418</v>
      </c>
      <c r="I19" s="45" t="n">
        <f aca="false">I16-I17-I18</f>
        <v>8388.17113857766</v>
      </c>
      <c r="J19" s="45" t="n">
        <f aca="false">J16-J17-J18</f>
        <v>6834.58234852843</v>
      </c>
      <c r="K19" s="45" t="n">
        <f aca="false">K16-K17-K18</f>
        <v>3089.76054508743</v>
      </c>
      <c r="L19" s="45" t="n">
        <f aca="false">L16-L17-L18</f>
        <v>4516.85894444803</v>
      </c>
      <c r="M19" s="45" t="n">
        <f aca="false">M16-M17-M18</f>
        <v>1612.17622531733</v>
      </c>
      <c r="N19" s="45" t="n">
        <f aca="false">N16-N17-N18</f>
        <v>6144.09691579997</v>
      </c>
      <c r="O19" s="45" t="n">
        <f aca="false">O16-O17-O18</f>
        <v>-878.032918334903</v>
      </c>
      <c r="P19" s="45" t="n">
        <f aca="false">P16-P17-P18</f>
        <v>-1793.69870518011</v>
      </c>
      <c r="Q19" s="45" t="n">
        <f aca="false">Q16-Q17-Q18</f>
        <v>7541.47785454756</v>
      </c>
      <c r="R19" s="45" t="n">
        <f aca="false">R16-R17-R18</f>
        <v>6043.93828965855</v>
      </c>
      <c r="S19" s="45" t="n">
        <f aca="false">S16-S17-S18</f>
        <v>11777.5827594171</v>
      </c>
      <c r="T19" s="45" t="n">
        <f aca="false">T16-T17-T18</f>
        <v>10145.519040186</v>
      </c>
      <c r="U19" s="45" t="n">
        <f aca="false">U16-U17-U18</f>
        <v>11830.297524001</v>
      </c>
      <c r="V19" s="45" t="n">
        <f aca="false">V16-V17-V18</f>
        <v>10183.2810770453</v>
      </c>
      <c r="W19" s="45" t="n">
        <f aca="false">W16-W17-W18</f>
        <v>6176.30930349647</v>
      </c>
      <c r="X19" s="45" t="n">
        <f aca="false">X16-X17-X18</f>
        <v>7726.81133915254</v>
      </c>
      <c r="Y19" s="45" t="n">
        <f aca="false">Y16-Y17-Y18</f>
        <v>4611.16414658663</v>
      </c>
      <c r="Z19" s="45" t="n">
        <f aca="false">Z16-Z17-Z18</f>
        <v>9455.59336131349</v>
      </c>
      <c r="AA19" s="45" t="n">
        <f aca="false">AA16-AA17-AA18</f>
        <v>1290.14751409202</v>
      </c>
      <c r="AB19" s="45" t="n">
        <f aca="false">AB16-AB17-AB18</f>
        <v>-1116.5483856244</v>
      </c>
      <c r="AC19" s="45" t="n">
        <f aca="false">AC16-AC17-AC18</f>
        <v>10138.7199086942</v>
      </c>
      <c r="AD19" s="45" t="n">
        <f aca="false">AD16-AD17-AD18</f>
        <v>8542.71184060847</v>
      </c>
      <c r="AE19" s="45" t="n">
        <f aca="false">AE16-AE17-AE18</f>
        <v>14592.2594322721</v>
      </c>
      <c r="AF19" s="45" t="n">
        <f aca="false">AF16-AF17-AF18</f>
        <v>12854.9473051017</v>
      </c>
      <c r="AG19" s="45" t="n">
        <f aca="false">AG16-AG17-AG18</f>
        <v>14650.7835458029</v>
      </c>
      <c r="AH19" s="45" t="n">
        <f aca="false">AH16-AH17-AH18</f>
        <v>12922.0197067554</v>
      </c>
      <c r="AI19" s="45" t="n">
        <f aca="false">AI16-AI17-AI18</f>
        <v>8689.67059691113</v>
      </c>
      <c r="AJ19" s="45" t="n">
        <f aca="false">AJ16-AJ17-AJ18</f>
        <v>10344.4777827869</v>
      </c>
      <c r="AK19" s="45" t="n">
        <f aca="false">AK16-AK17-AK18</f>
        <v>7048.58249807157</v>
      </c>
      <c r="AL19" s="45" t="n">
        <f aca="false">AL16-AL17-AL18</f>
        <v>12164.0180455554</v>
      </c>
      <c r="AM19" s="46" t="n">
        <f aca="false">SUMIF($C$5:$AL$5,AM$5,$C19:$AL19)</f>
        <v>-20926.0751616895</v>
      </c>
      <c r="AN19" s="46" t="n">
        <f aca="false">SUMIF($C$5:$AL$5,AN$5,$C19:$AL19)</f>
        <v>82820.2430718896</v>
      </c>
      <c r="AO19" s="46" t="n">
        <f aca="false">SUMIF($C$5:$AL$5,AO$5,$C19:$AL19)</f>
        <v>112121.789791027</v>
      </c>
    </row>
    <row r="20" customFormat="false" ht="15" hidden="false" customHeight="false" outlineLevel="0" collapsed="false">
      <c r="A20" s="7" t="s">
        <v>283</v>
      </c>
      <c r="B20" s="2"/>
      <c r="C20" s="28" t="n">
        <f aca="false">MAX(0,C19)*Assumptions!$C$103</f>
        <v>0</v>
      </c>
      <c r="D20" s="28" t="n">
        <f aca="false">MAX(0,D19)*Assumptions!$C$103</f>
        <v>0</v>
      </c>
      <c r="E20" s="28" t="n">
        <f aca="false">MAX(0,E19)*Assumptions!$C$103</f>
        <v>0</v>
      </c>
      <c r="F20" s="28" t="n">
        <f aca="false">MAX(0,F19)*Assumptions!$C$103</f>
        <v>0</v>
      </c>
      <c r="G20" s="28" t="n">
        <f aca="false">MAX(0,G19)*Assumptions!$C$103</f>
        <v>0</v>
      </c>
      <c r="H20" s="28" t="n">
        <f aca="false">MAX(0,H19)*Assumptions!$C$103</f>
        <v>0</v>
      </c>
      <c r="I20" s="28" t="n">
        <f aca="false">MAX(0,I19)*Assumptions!$C$103</f>
        <v>0</v>
      </c>
      <c r="J20" s="28" t="n">
        <f aca="false">MAX(0,J19)*Assumptions!$C$103</f>
        <v>0</v>
      </c>
      <c r="K20" s="28" t="n">
        <f aca="false">MAX(0,K19)*Assumptions!$C$103</f>
        <v>0</v>
      </c>
      <c r="L20" s="28" t="n">
        <f aca="false">MAX(0,L19)*Assumptions!$C$103</f>
        <v>0</v>
      </c>
      <c r="M20" s="28" t="n">
        <f aca="false">MAX(0,M19)*Assumptions!$C$103</f>
        <v>0</v>
      </c>
      <c r="N20" s="28" t="n">
        <f aca="false">MAX(0,N19)*Assumptions!$C$103</f>
        <v>0</v>
      </c>
      <c r="O20" s="28" t="n">
        <f aca="false">MAX(0,O19)*Assumptions!$C$103</f>
        <v>0</v>
      </c>
      <c r="P20" s="28" t="n">
        <f aca="false">MAX(0,P19)*Assumptions!$C$103</f>
        <v>0</v>
      </c>
      <c r="Q20" s="28" t="n">
        <f aca="false">MAX(0,Q19)*Assumptions!$C$103</f>
        <v>0</v>
      </c>
      <c r="R20" s="28" t="n">
        <f aca="false">MAX(0,R19)*Assumptions!$C$103</f>
        <v>0</v>
      </c>
      <c r="S20" s="28" t="n">
        <f aca="false">MAX(0,S19)*Assumptions!$C$103</f>
        <v>0</v>
      </c>
      <c r="T20" s="28" t="n">
        <f aca="false">MAX(0,T19)*Assumptions!$C$103</f>
        <v>0</v>
      </c>
      <c r="U20" s="28" t="n">
        <f aca="false">MAX(0,U19)*Assumptions!$C$103</f>
        <v>0</v>
      </c>
      <c r="V20" s="28" t="n">
        <f aca="false">MAX(0,V19)*Assumptions!$C$103</f>
        <v>0</v>
      </c>
      <c r="W20" s="28" t="n">
        <f aca="false">MAX(0,W19)*Assumptions!$C$103</f>
        <v>0</v>
      </c>
      <c r="X20" s="28" t="n">
        <f aca="false">MAX(0,X19)*Assumptions!$C$103</f>
        <v>0</v>
      </c>
      <c r="Y20" s="28" t="n">
        <f aca="false">MAX(0,Y19)*Assumptions!$C$103</f>
        <v>0</v>
      </c>
      <c r="Z20" s="28" t="n">
        <f aca="false">MAX(0,Z19)*Assumptions!$C$103</f>
        <v>0</v>
      </c>
      <c r="AA20" s="28" t="n">
        <f aca="false">MAX(0,AA19)*Assumptions!$C$103</f>
        <v>0</v>
      </c>
      <c r="AB20" s="28" t="n">
        <f aca="false">MAX(0,AB19)*Assumptions!$C$103</f>
        <v>0</v>
      </c>
      <c r="AC20" s="28" t="n">
        <f aca="false">MAX(0,AC19)*Assumptions!$C$103</f>
        <v>0</v>
      </c>
      <c r="AD20" s="28" t="n">
        <f aca="false">MAX(0,AD19)*Assumptions!$C$103</f>
        <v>0</v>
      </c>
      <c r="AE20" s="28" t="n">
        <f aca="false">MAX(0,AE19)*Assumptions!$C$103</f>
        <v>0</v>
      </c>
      <c r="AF20" s="28" t="n">
        <f aca="false">MAX(0,AF19)*Assumptions!$C$103</f>
        <v>0</v>
      </c>
      <c r="AG20" s="28" t="n">
        <f aca="false">MAX(0,AG19)*Assumptions!$C$103</f>
        <v>0</v>
      </c>
      <c r="AH20" s="28" t="n">
        <f aca="false">MAX(0,AH19)*Assumptions!$C$103</f>
        <v>0</v>
      </c>
      <c r="AI20" s="28" t="n">
        <f aca="false">MAX(0,AI19)*Assumptions!$C$103</f>
        <v>0</v>
      </c>
      <c r="AJ20" s="28" t="n">
        <f aca="false">MAX(0,AJ19)*Assumptions!$C$103</f>
        <v>0</v>
      </c>
      <c r="AK20" s="28" t="n">
        <f aca="false">MAX(0,AK19)*Assumptions!$C$103</f>
        <v>0</v>
      </c>
      <c r="AL20" s="28" t="n">
        <f aca="false">MAX(0,AL19)*Assumptions!$C$103</f>
        <v>0</v>
      </c>
      <c r="AM20" s="44" t="n">
        <f aca="false">SUMIF($C$5:$AL$5,AM$5,$C20:$AL20)</f>
        <v>0</v>
      </c>
      <c r="AN20" s="44" t="n">
        <f aca="false">SUMIF($C$5:$AL$5,AN$5,$C20:$AL20)</f>
        <v>0</v>
      </c>
      <c r="AO20" s="44" t="n">
        <f aca="false">SUMIF($C$5:$AL$5,AO$5,$C20:$AL20)</f>
        <v>0</v>
      </c>
    </row>
    <row r="21" customFormat="false" ht="15" hidden="false" customHeight="false" outlineLevel="0" collapsed="false">
      <c r="A21" s="40" t="s">
        <v>284</v>
      </c>
      <c r="B21" s="41"/>
      <c r="C21" s="45" t="n">
        <f aca="false">C19-C20</f>
        <v>-28432.0025346286</v>
      </c>
      <c r="D21" s="45" t="n">
        <f aca="false">D19-D20</f>
        <v>-21967.9593530589</v>
      </c>
      <c r="E21" s="45" t="n">
        <f aca="false">E19-E20</f>
        <v>-7482.39167322538</v>
      </c>
      <c r="F21" s="45" t="n">
        <f aca="false">F19-F20</f>
        <v>-4663.22180678072</v>
      </c>
      <c r="G21" s="45" t="n">
        <f aca="false">G19-G20</f>
        <v>4199.37912340103</v>
      </c>
      <c r="H21" s="45" t="n">
        <f aca="false">H19-H20</f>
        <v>6834.47496484418</v>
      </c>
      <c r="I21" s="45" t="n">
        <f aca="false">I19-I20</f>
        <v>8388.17113857766</v>
      </c>
      <c r="J21" s="45" t="n">
        <f aca="false">J19-J20</f>
        <v>6834.58234852843</v>
      </c>
      <c r="K21" s="45" t="n">
        <f aca="false">K19-K20</f>
        <v>3089.76054508743</v>
      </c>
      <c r="L21" s="45" t="n">
        <f aca="false">L19-L20</f>
        <v>4516.85894444803</v>
      </c>
      <c r="M21" s="45" t="n">
        <f aca="false">M19-M20</f>
        <v>1612.17622531733</v>
      </c>
      <c r="N21" s="45" t="n">
        <f aca="false">N19-N20</f>
        <v>6144.09691579997</v>
      </c>
      <c r="O21" s="45" t="n">
        <f aca="false">O19-O20</f>
        <v>-878.032918334903</v>
      </c>
      <c r="P21" s="45" t="n">
        <f aca="false">P19-P20</f>
        <v>-1793.69870518011</v>
      </c>
      <c r="Q21" s="45" t="n">
        <f aca="false">Q19-Q20</f>
        <v>7541.47785454756</v>
      </c>
      <c r="R21" s="45" t="n">
        <f aca="false">R19-R20</f>
        <v>6043.93828965855</v>
      </c>
      <c r="S21" s="45" t="n">
        <f aca="false">S19-S20</f>
        <v>11777.5827594171</v>
      </c>
      <c r="T21" s="45" t="n">
        <f aca="false">T19-T20</f>
        <v>10145.519040186</v>
      </c>
      <c r="U21" s="45" t="n">
        <f aca="false">U19-U20</f>
        <v>11830.297524001</v>
      </c>
      <c r="V21" s="45" t="n">
        <f aca="false">V19-V20</f>
        <v>10183.2810770453</v>
      </c>
      <c r="W21" s="45" t="n">
        <f aca="false">W19-W20</f>
        <v>6176.30930349647</v>
      </c>
      <c r="X21" s="45" t="n">
        <f aca="false">X19-X20</f>
        <v>7726.81133915254</v>
      </c>
      <c r="Y21" s="45" t="n">
        <f aca="false">Y19-Y20</f>
        <v>4611.16414658663</v>
      </c>
      <c r="Z21" s="45" t="n">
        <f aca="false">Z19-Z20</f>
        <v>9455.59336131349</v>
      </c>
      <c r="AA21" s="45" t="n">
        <f aca="false">AA19-AA20</f>
        <v>1290.14751409202</v>
      </c>
      <c r="AB21" s="45" t="n">
        <f aca="false">AB19-AB20</f>
        <v>-1116.5483856244</v>
      </c>
      <c r="AC21" s="45" t="n">
        <f aca="false">AC19-AC20</f>
        <v>10138.7199086942</v>
      </c>
      <c r="AD21" s="45" t="n">
        <f aca="false">AD19-AD20</f>
        <v>8542.71184060847</v>
      </c>
      <c r="AE21" s="45" t="n">
        <f aca="false">AE19-AE20</f>
        <v>14592.2594322721</v>
      </c>
      <c r="AF21" s="45" t="n">
        <f aca="false">AF19-AF20</f>
        <v>12854.9473051017</v>
      </c>
      <c r="AG21" s="45" t="n">
        <f aca="false">AG19-AG20</f>
        <v>14650.7835458029</v>
      </c>
      <c r="AH21" s="45" t="n">
        <f aca="false">AH19-AH20</f>
        <v>12922.0197067554</v>
      </c>
      <c r="AI21" s="45" t="n">
        <f aca="false">AI19-AI20</f>
        <v>8689.67059691113</v>
      </c>
      <c r="AJ21" s="45" t="n">
        <f aca="false">AJ19-AJ20</f>
        <v>10344.4777827869</v>
      </c>
      <c r="AK21" s="45" t="n">
        <f aca="false">AK19-AK20</f>
        <v>7048.58249807157</v>
      </c>
      <c r="AL21" s="45" t="n">
        <f aca="false">AL19-AL20</f>
        <v>12164.0180455554</v>
      </c>
      <c r="AM21" s="46" t="n">
        <f aca="false">SUMIF($C$5:$AL$5,AM$5,$C21:$AL21)</f>
        <v>-20926.0751616895</v>
      </c>
      <c r="AN21" s="46" t="n">
        <f aca="false">SUMIF($C$5:$AL$5,AN$5,$C21:$AL21)</f>
        <v>82820.2430718896</v>
      </c>
      <c r="AO21" s="46" t="n">
        <f aca="false">SUMIF($C$5:$AL$5,AO$5,$C21:$AL21)</f>
        <v>112121.789791027</v>
      </c>
    </row>
    <row r="23" customFormat="false" ht="15" hidden="false" customHeight="false" outlineLevel="0" collapsed="false">
      <c r="A23" s="34" t="s">
        <v>285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</row>
    <row r="24" customFormat="false" ht="15" hidden="false" customHeight="false" outlineLevel="0" collapsed="false">
      <c r="A24" s="7" t="s">
        <v>286</v>
      </c>
      <c r="B24" s="2"/>
      <c r="C24" s="22" t="n">
        <f aca="false">IF(C9=0,0,C10/C9)</f>
        <v>0.285</v>
      </c>
      <c r="D24" s="22" t="n">
        <f aca="false">IF(D9=0,0,D10/D9)</f>
        <v>0.285</v>
      </c>
      <c r="E24" s="22" t="n">
        <f aca="false">IF(E9=0,0,E10/E9)</f>
        <v>0.285</v>
      </c>
      <c r="F24" s="22" t="n">
        <f aca="false">IF(F9=0,0,F10/F9)</f>
        <v>0.285</v>
      </c>
      <c r="G24" s="22" t="n">
        <f aca="false">IF(G9=0,0,G10/G9)</f>
        <v>0.285</v>
      </c>
      <c r="H24" s="22" t="n">
        <f aca="false">IF(H9=0,0,H10/H9)</f>
        <v>0.285</v>
      </c>
      <c r="I24" s="22" t="n">
        <f aca="false">IF(I9=0,0,I10/I9)</f>
        <v>0.285</v>
      </c>
      <c r="J24" s="22" t="n">
        <f aca="false">IF(J9=0,0,J10/J9)</f>
        <v>0.285</v>
      </c>
      <c r="K24" s="22" t="n">
        <f aca="false">IF(K9=0,0,K10/K9)</f>
        <v>0.285</v>
      </c>
      <c r="L24" s="22" t="n">
        <f aca="false">IF(L9=0,0,L10/L9)</f>
        <v>0.285</v>
      </c>
      <c r="M24" s="22" t="n">
        <f aca="false">IF(M9=0,0,M10/M9)</f>
        <v>0.285</v>
      </c>
      <c r="N24" s="22" t="n">
        <f aca="false">IF(N9=0,0,N10/N9)</f>
        <v>0.285</v>
      </c>
      <c r="O24" s="22" t="n">
        <f aca="false">IF(O9=0,0,O10/O9)</f>
        <v>0.285</v>
      </c>
      <c r="P24" s="22" t="n">
        <f aca="false">IF(P9=0,0,P10/P9)</f>
        <v>0.285</v>
      </c>
      <c r="Q24" s="22" t="n">
        <f aca="false">IF(Q9=0,0,Q10/Q9)</f>
        <v>0.285</v>
      </c>
      <c r="R24" s="22" t="n">
        <f aca="false">IF(R9=0,0,R10/R9)</f>
        <v>0.285</v>
      </c>
      <c r="S24" s="22" t="n">
        <f aca="false">IF(S9=0,0,S10/S9)</f>
        <v>0.285</v>
      </c>
      <c r="T24" s="22" t="n">
        <f aca="false">IF(T9=0,0,T10/T9)</f>
        <v>0.285</v>
      </c>
      <c r="U24" s="22" t="n">
        <f aca="false">IF(U9=0,0,U10/U9)</f>
        <v>0.285</v>
      </c>
      <c r="V24" s="22" t="n">
        <f aca="false">IF(V9=0,0,V10/V9)</f>
        <v>0.285</v>
      </c>
      <c r="W24" s="22" t="n">
        <f aca="false">IF(W9=0,0,W10/W9)</f>
        <v>0.285</v>
      </c>
      <c r="X24" s="22" t="n">
        <f aca="false">IF(X9=0,0,X10/X9)</f>
        <v>0.285</v>
      </c>
      <c r="Y24" s="22" t="n">
        <f aca="false">IF(Y9=0,0,Y10/Y9)</f>
        <v>0.285</v>
      </c>
      <c r="Z24" s="22" t="n">
        <f aca="false">IF(Z9=0,0,Z10/Z9)</f>
        <v>0.285</v>
      </c>
      <c r="AA24" s="22" t="n">
        <f aca="false">IF(AA9=0,0,AA10/AA9)</f>
        <v>0.285</v>
      </c>
      <c r="AB24" s="22" t="n">
        <f aca="false">IF(AB9=0,0,AB10/AB9)</f>
        <v>0.285</v>
      </c>
      <c r="AC24" s="22" t="n">
        <f aca="false">IF(AC9=0,0,AC10/AC9)</f>
        <v>0.285</v>
      </c>
      <c r="AD24" s="22" t="n">
        <f aca="false">IF(AD9=0,0,AD10/AD9)</f>
        <v>0.285</v>
      </c>
      <c r="AE24" s="22" t="n">
        <f aca="false">IF(AE9=0,0,AE10/AE9)</f>
        <v>0.285</v>
      </c>
      <c r="AF24" s="22" t="n">
        <f aca="false">IF(AF9=0,0,AF10/AF9)</f>
        <v>0.285</v>
      </c>
      <c r="AG24" s="22" t="n">
        <f aca="false">IF(AG9=0,0,AG10/AG9)</f>
        <v>0.285</v>
      </c>
      <c r="AH24" s="22" t="n">
        <f aca="false">IF(AH9=0,0,AH10/AH9)</f>
        <v>0.285</v>
      </c>
      <c r="AI24" s="22" t="n">
        <f aca="false">IF(AI9=0,0,AI10/AI9)</f>
        <v>0.285</v>
      </c>
      <c r="AJ24" s="22" t="n">
        <f aca="false">IF(AJ9=0,0,AJ10/AJ9)</f>
        <v>0.285</v>
      </c>
      <c r="AK24" s="22" t="n">
        <f aca="false">IF(AK9=0,0,AK10/AK9)</f>
        <v>0.285</v>
      </c>
      <c r="AL24" s="22" t="n">
        <f aca="false">IF(AL9=0,0,AL10/AL9)</f>
        <v>0.285</v>
      </c>
      <c r="AM24" s="49" t="n">
        <f aca="false">IF(AM9=0,0,AM10/AM9)</f>
        <v>0.285</v>
      </c>
      <c r="AN24" s="49" t="n">
        <f aca="false">IF(AN9=0,0,AN10/AN9)</f>
        <v>0.285</v>
      </c>
      <c r="AO24" s="49" t="n">
        <f aca="false">IF(AO9=0,0,AO10/AO9)</f>
        <v>0.285</v>
      </c>
    </row>
    <row r="25" customFormat="false" ht="15" hidden="false" customHeight="false" outlineLevel="0" collapsed="false">
      <c r="A25" s="7" t="s">
        <v>287</v>
      </c>
      <c r="B25" s="2"/>
      <c r="C25" s="22" t="n">
        <f aca="false">IF(C9=0,0,C12/C9)</f>
        <v>0.649826885131352</v>
      </c>
      <c r="D25" s="22" t="n">
        <f aca="false">IF(D9=0,0,D12/D9)</f>
        <v>0.565927615772211</v>
      </c>
      <c r="E25" s="22" t="n">
        <f aca="false">IF(E9=0,0,E12/E9)</f>
        <v>0.447233797413931</v>
      </c>
      <c r="F25" s="22" t="n">
        <f aca="false">IF(F9=0,0,F12/F9)</f>
        <v>0.425962255067077</v>
      </c>
      <c r="G25" s="22" t="n">
        <f aca="false">IF(G9=0,0,G12/G9)</f>
        <v>0.381101481505605</v>
      </c>
      <c r="H25" s="22" t="n">
        <f aca="false">IF(H9=0,0,H12/H9)</f>
        <v>0.365110504343209</v>
      </c>
      <c r="I25" s="22" t="n">
        <f aca="false">IF(I9=0,0,I12/I9)</f>
        <v>0.362046407430325</v>
      </c>
      <c r="J25" s="22" t="n">
        <f aca="false">IF(J9=0,0,J12/J9)</f>
        <v>0.369076434759069</v>
      </c>
      <c r="K25" s="22" t="n">
        <f aca="false">IF(K9=0,0,K12/K9)</f>
        <v>0.38336602956037</v>
      </c>
      <c r="L25" s="22" t="n">
        <f aca="false">IF(L9=0,0,L12/L9)</f>
        <v>0.380148727801841</v>
      </c>
      <c r="M25" s="22" t="n">
        <f aca="false">IF(M9=0,0,M12/M9)</f>
        <v>0.39118982608201</v>
      </c>
      <c r="N25" s="22" t="n">
        <f aca="false">IF(N9=0,0,N12/N9)</f>
        <v>0.372694831178276</v>
      </c>
      <c r="O25" s="22" t="n">
        <f aca="false">IF(O9=0,0,O12/O9)</f>
        <v>0.410084927510077</v>
      </c>
      <c r="P25" s="22" t="n">
        <f aca="false">IF(P9=0,0,P12/P9)</f>
        <v>0.408194611860275</v>
      </c>
      <c r="Q25" s="22" t="n">
        <f aca="false">IF(Q9=0,0,Q12/Q9)</f>
        <v>0.369076434759069</v>
      </c>
      <c r="R25" s="22" t="n">
        <f aca="false">IF(R9=0,0,R12/R9)</f>
        <v>0.372200028699388</v>
      </c>
      <c r="S25" s="22" t="n">
        <f aca="false">IF(S9=0,0,S12/S9)</f>
        <v>0.351501366437209</v>
      </c>
      <c r="T25" s="22" t="n">
        <f aca="false">IF(T9=0,0,T12/T9)</f>
        <v>0.354476217808941</v>
      </c>
      <c r="U25" s="22" t="n">
        <f aca="false">IF(U9=0,0,U12/U9)</f>
        <v>0.351501366437209</v>
      </c>
      <c r="V25" s="22" t="n">
        <f aca="false">IF(V9=0,0,V12/V9)</f>
        <v>0.358326635688417</v>
      </c>
      <c r="W25" s="22" t="n">
        <f aca="false">IF(W9=0,0,W12/W9)</f>
        <v>0.372200028699388</v>
      </c>
      <c r="X25" s="22" t="n">
        <f aca="false">IF(X9=0,0,X12/X9)</f>
        <v>0.369076434759069</v>
      </c>
      <c r="Y25" s="22" t="n">
        <f aca="false">IF(Y9=0,0,Y12/Y9)</f>
        <v>0.379795947652437</v>
      </c>
      <c r="Z25" s="22" t="n">
        <f aca="false">IF(Z9=0,0,Z12/Z9)</f>
        <v>0.361839641920656</v>
      </c>
      <c r="AA25" s="22" t="n">
        <f aca="false">IF(AA9=0,0,AA12/AA9)</f>
        <v>0.402044046578507</v>
      </c>
      <c r="AB25" s="22" t="n">
        <f aca="false">IF(AB9=0,0,AB12/AB9)</f>
        <v>0.404003152321681</v>
      </c>
      <c r="AC25" s="22" t="n">
        <f aca="false">IF(AC9=0,0,AC12/AC9)</f>
        <v>0.361839641920656</v>
      </c>
      <c r="AD25" s="22" t="n">
        <f aca="false">IF(AD9=0,0,AD12/AD9)</f>
        <v>0.364901988920969</v>
      </c>
      <c r="AE25" s="22" t="n">
        <f aca="false">IF(AE9=0,0,AE12/AE9)</f>
        <v>0.344609182781577</v>
      </c>
      <c r="AF25" s="22" t="n">
        <f aca="false">IF(AF9=0,0,AF12/AF9)</f>
        <v>0.347525703734256</v>
      </c>
      <c r="AG25" s="22" t="n">
        <f aca="false">IF(AG9=0,0,AG12/AG9)</f>
        <v>0.344609182781577</v>
      </c>
      <c r="AH25" s="22" t="n">
        <f aca="false">IF(AH9=0,0,AH12/AH9)</f>
        <v>0.351300623223938</v>
      </c>
      <c r="AI25" s="22" t="n">
        <f aca="false">IF(AI9=0,0,AI12/AI9)</f>
        <v>0.364901988920969</v>
      </c>
      <c r="AJ25" s="22" t="n">
        <f aca="false">IF(AJ9=0,0,AJ12/AJ9)</f>
        <v>0.361839641920656</v>
      </c>
      <c r="AK25" s="22" t="n">
        <f aca="false">IF(AK9=0,0,AK12/AK9)</f>
        <v>0.372348968286703</v>
      </c>
      <c r="AL25" s="22" t="n">
        <f aca="false">IF(AL9=0,0,AL12/AL9)</f>
        <v>0.354744746981035</v>
      </c>
      <c r="AM25" s="49" t="n">
        <f aca="false">IF(AM9=0,0,AM12/AM9)</f>
        <v>0.410416934210398</v>
      </c>
      <c r="AN25" s="49" t="n">
        <f aca="false">IF(AN9=0,0,AN12/AN9)</f>
        <v>0.37048103687509</v>
      </c>
      <c r="AO25" s="49" t="n">
        <f aca="false">IF(AO9=0,0,AO12/AO9)</f>
        <v>0.363392465077914</v>
      </c>
    </row>
    <row r="26" customFormat="false" ht="15" hidden="false" customHeight="false" outlineLevel="0" collapsed="false">
      <c r="A26" s="7" t="s">
        <v>288</v>
      </c>
      <c r="B26" s="2"/>
      <c r="C26" s="22" t="n">
        <f aca="false">IF(C9=0,0,C13/C9)</f>
        <v>0.934826885131352</v>
      </c>
      <c r="D26" s="22" t="n">
        <f aca="false">IF(D9=0,0,D13/D9)</f>
        <v>0.850927615772211</v>
      </c>
      <c r="E26" s="22" t="n">
        <f aca="false">IF(E9=0,0,E13/E9)</f>
        <v>0.732233797413931</v>
      </c>
      <c r="F26" s="22" t="n">
        <f aca="false">IF(F9=0,0,F13/F9)</f>
        <v>0.710962255067078</v>
      </c>
      <c r="G26" s="22" t="n">
        <f aca="false">IF(G9=0,0,G13/G9)</f>
        <v>0.666101481505605</v>
      </c>
      <c r="H26" s="22" t="n">
        <f aca="false">IF(H9=0,0,H13/H9)</f>
        <v>0.650110504343209</v>
      </c>
      <c r="I26" s="22" t="n">
        <f aca="false">IF(I9=0,0,I13/I9)</f>
        <v>0.647046407430325</v>
      </c>
      <c r="J26" s="22" t="n">
        <f aca="false">IF(J9=0,0,J13/J9)</f>
        <v>0.654076434759069</v>
      </c>
      <c r="K26" s="22" t="n">
        <f aca="false">IF(K9=0,0,K13/K9)</f>
        <v>0.66836602956037</v>
      </c>
      <c r="L26" s="22" t="n">
        <f aca="false">IF(L9=0,0,L13/L9)</f>
        <v>0.665148727801841</v>
      </c>
      <c r="M26" s="22" t="n">
        <f aca="false">IF(M9=0,0,M13/M9)</f>
        <v>0.67618982608201</v>
      </c>
      <c r="N26" s="22" t="n">
        <f aca="false">IF(N9=0,0,N13/N9)</f>
        <v>0.657694831178275</v>
      </c>
      <c r="O26" s="22" t="n">
        <f aca="false">IF(O9=0,0,O13/O9)</f>
        <v>0.695084927510077</v>
      </c>
      <c r="P26" s="22" t="n">
        <f aca="false">IF(P9=0,0,P13/P9)</f>
        <v>0.693194611860275</v>
      </c>
      <c r="Q26" s="22" t="n">
        <f aca="false">IF(Q9=0,0,Q13/Q9)</f>
        <v>0.654076434759069</v>
      </c>
      <c r="R26" s="22" t="n">
        <f aca="false">IF(R9=0,0,R13/R9)</f>
        <v>0.657200028699388</v>
      </c>
      <c r="S26" s="22" t="n">
        <f aca="false">IF(S9=0,0,S13/S9)</f>
        <v>0.636501366437209</v>
      </c>
      <c r="T26" s="22" t="n">
        <f aca="false">IF(T9=0,0,T13/T9)</f>
        <v>0.639476217808941</v>
      </c>
      <c r="U26" s="22" t="n">
        <f aca="false">IF(U9=0,0,U13/U9)</f>
        <v>0.636501366437209</v>
      </c>
      <c r="V26" s="22" t="n">
        <f aca="false">IF(V9=0,0,V13/V9)</f>
        <v>0.643326635688417</v>
      </c>
      <c r="W26" s="22" t="n">
        <f aca="false">IF(W9=0,0,W13/W9)</f>
        <v>0.657200028699388</v>
      </c>
      <c r="X26" s="22" t="n">
        <f aca="false">IF(X9=0,0,X13/X9)</f>
        <v>0.654076434759069</v>
      </c>
      <c r="Y26" s="22" t="n">
        <f aca="false">IF(Y9=0,0,Y13/Y9)</f>
        <v>0.664795947652437</v>
      </c>
      <c r="Z26" s="22" t="n">
        <f aca="false">IF(Z9=0,0,Z13/Z9)</f>
        <v>0.646839641920656</v>
      </c>
      <c r="AA26" s="22" t="n">
        <f aca="false">IF(AA9=0,0,AA13/AA9)</f>
        <v>0.687044046578507</v>
      </c>
      <c r="AB26" s="22" t="n">
        <f aca="false">IF(AB9=0,0,AB13/AB9)</f>
        <v>0.689003152321681</v>
      </c>
      <c r="AC26" s="22" t="n">
        <f aca="false">IF(AC9=0,0,AC13/AC9)</f>
        <v>0.646839641920656</v>
      </c>
      <c r="AD26" s="22" t="n">
        <f aca="false">IF(AD9=0,0,AD13/AD9)</f>
        <v>0.649901988920969</v>
      </c>
      <c r="AE26" s="22" t="n">
        <f aca="false">IF(AE9=0,0,AE13/AE9)</f>
        <v>0.629609182781577</v>
      </c>
      <c r="AF26" s="22" t="n">
        <f aca="false">IF(AF9=0,0,AF13/AF9)</f>
        <v>0.632525703734256</v>
      </c>
      <c r="AG26" s="22" t="n">
        <f aca="false">IF(AG9=0,0,AG13/AG9)</f>
        <v>0.629609182781577</v>
      </c>
      <c r="AH26" s="22" t="n">
        <f aca="false">IF(AH9=0,0,AH13/AH9)</f>
        <v>0.636300623223938</v>
      </c>
      <c r="AI26" s="22" t="n">
        <f aca="false">IF(AI9=0,0,AI13/AI9)</f>
        <v>0.649901988920969</v>
      </c>
      <c r="AJ26" s="22" t="n">
        <f aca="false">IF(AJ9=0,0,AJ13/AJ9)</f>
        <v>0.646839641920656</v>
      </c>
      <c r="AK26" s="22" t="n">
        <f aca="false">IF(AK9=0,0,AK13/AK9)</f>
        <v>0.657348968286703</v>
      </c>
      <c r="AL26" s="22" t="n">
        <f aca="false">IF(AL9=0,0,AL13/AL9)</f>
        <v>0.639744746981035</v>
      </c>
      <c r="AM26" s="49" t="n">
        <f aca="false">IF(AM9=0,0,AM13/AM9)</f>
        <v>0.695416934210398</v>
      </c>
      <c r="AN26" s="49" t="n">
        <f aca="false">IF(AN9=0,0,AN13/AN9)</f>
        <v>0.65548103687509</v>
      </c>
      <c r="AO26" s="49" t="n">
        <f aca="false">IF(AO9=0,0,AO13/AO9)</f>
        <v>0.648392465077914</v>
      </c>
    </row>
    <row r="27" customFormat="false" ht="15" hidden="false" customHeight="false" outlineLevel="0" collapsed="false">
      <c r="A27" s="7" t="s">
        <v>289</v>
      </c>
      <c r="B27" s="2"/>
      <c r="C27" s="22" t="n">
        <f aca="false">IF(C9=0,0,C14/C9)</f>
        <v>0.123260887486279</v>
      </c>
      <c r="D27" s="22" t="n">
        <f aca="false">IF(D9=0,0,D14/D9)</f>
        <v>0.115700631188595</v>
      </c>
      <c r="E27" s="22" t="n">
        <f aca="false">IF(E9=0,0,E14/E9)</f>
        <v>0.0848324931523212</v>
      </c>
      <c r="F27" s="22" t="n">
        <f aca="false">IF(F9=0,0,F14/F9)</f>
        <v>0.0827902294282838</v>
      </c>
      <c r="G27" s="22" t="n">
        <f aca="false">IF(G9=0,0,G14/G9)</f>
        <v>0.0722883400295468</v>
      </c>
      <c r="H27" s="22" t="n">
        <f aca="false">IF(H9=0,0,H14/H9)</f>
        <v>0.0709630537956718</v>
      </c>
      <c r="I27" s="22" t="n">
        <f aca="false">IF(I9=0,0,I14/I9)</f>
        <v>0.0686739230280695</v>
      </c>
      <c r="J27" s="22" t="n">
        <f aca="false">IF(J9=0,0,J14/J9)</f>
        <v>0.0700073972616243</v>
      </c>
      <c r="K27" s="22" t="n">
        <f aca="false">IF(K9=0,0,K14/K9)</f>
        <v>0.0745112064854554</v>
      </c>
      <c r="L27" s="22" t="n">
        <f aca="false">IF(L9=0,0,L14/L9)</f>
        <v>0.072107619179473</v>
      </c>
      <c r="M27" s="22" t="n">
        <f aca="false">IF(M9=0,0,M14/M9)</f>
        <v>0.0760318433525055</v>
      </c>
      <c r="N27" s="22" t="n">
        <f aca="false">IF(N9=0,0,N14/N9)</f>
        <v>0.0706937442936009</v>
      </c>
      <c r="O27" s="22" t="n">
        <f aca="false">IF(O9=0,0,O14/O9)</f>
        <v>0.0777859969573603</v>
      </c>
      <c r="P27" s="22" t="n">
        <f aca="false">IF(P9=0,0,P14/P9)</f>
        <v>0.0813429278527118</v>
      </c>
      <c r="Q27" s="22" t="n">
        <f aca="false">IF(Q9=0,0,Q14/Q9)</f>
        <v>0.0700073972616243</v>
      </c>
      <c r="R27" s="22" t="n">
        <f aca="false">IF(R9=0,0,R14/R9)</f>
        <v>0.0723409771703451</v>
      </c>
      <c r="S27" s="22" t="n">
        <f aca="false">IF(S9=0,0,S14/S9)</f>
        <v>0.0666737116777374</v>
      </c>
      <c r="T27" s="22" t="n">
        <f aca="false">IF(T9=0,0,T14/T9)</f>
        <v>0.068896168733662</v>
      </c>
      <c r="U27" s="22" t="n">
        <f aca="false">IF(U9=0,0,U14/U9)</f>
        <v>0.0666737116777374</v>
      </c>
      <c r="V27" s="22" t="n">
        <f aca="false">IF(V9=0,0,V14/V9)</f>
        <v>0.0679683468559459</v>
      </c>
      <c r="W27" s="22" t="n">
        <f aca="false">IF(W9=0,0,W14/W9)</f>
        <v>0.0723409771703451</v>
      </c>
      <c r="X27" s="22" t="n">
        <f aca="false">IF(X9=0,0,X14/X9)</f>
        <v>0.0700073972616243</v>
      </c>
      <c r="Y27" s="22" t="n">
        <f aca="false">IF(Y9=0,0,Y14/Y9)</f>
        <v>0.0738173236432092</v>
      </c>
      <c r="Z27" s="22" t="n">
        <f aca="false">IF(Z9=0,0,Z14/Z9)</f>
        <v>0.0686347031976708</v>
      </c>
      <c r="AA27" s="22" t="n">
        <f aca="false">IF(AA9=0,0,AA14/AA9)</f>
        <v>0.0762607813307454</v>
      </c>
      <c r="AB27" s="22" t="n">
        <f aca="false">IF(AB9=0,0,AB14/AB9)</f>
        <v>0.0825961102145884</v>
      </c>
      <c r="AC27" s="22" t="n">
        <f aca="false">IF(AC9=0,0,AC14/AC9)</f>
        <v>0.0686347031976708</v>
      </c>
      <c r="AD27" s="22" t="n">
        <f aca="false">IF(AD9=0,0,AD14/AD9)</f>
        <v>0.0709225266375932</v>
      </c>
      <c r="AE27" s="22" t="n">
        <f aca="false">IF(AE9=0,0,AE14/AE9)</f>
        <v>0.0653663839977818</v>
      </c>
      <c r="AF27" s="22" t="n">
        <f aca="false">IF(AF9=0,0,AF14/AF9)</f>
        <v>0.0675452634643745</v>
      </c>
      <c r="AG27" s="22" t="n">
        <f aca="false">IF(AG9=0,0,AG14/AG9)</f>
        <v>0.0653663839977818</v>
      </c>
      <c r="AH27" s="22" t="n">
        <f aca="false">IF(AH9=0,0,AH14/AH9)</f>
        <v>0.066635634172496</v>
      </c>
      <c r="AI27" s="22" t="n">
        <f aca="false">IF(AI9=0,0,AI14/AI9)</f>
        <v>0.0709225266375932</v>
      </c>
      <c r="AJ27" s="22" t="n">
        <f aca="false">IF(AJ9=0,0,AJ14/AJ9)</f>
        <v>0.0686347031976708</v>
      </c>
      <c r="AK27" s="22" t="n">
        <f aca="false">IF(AK9=0,0,AK14/AK9)</f>
        <v>0.0723699251404012</v>
      </c>
      <c r="AL27" s="22" t="n">
        <f aca="false">IF(AL9=0,0,AL14/AL9)</f>
        <v>0.0672889247035989</v>
      </c>
      <c r="AM27" s="49" t="n">
        <f aca="false">IF(AM9=0,0,AM14/AM9)</f>
        <v>0.0789575007462273</v>
      </c>
      <c r="AN27" s="49" t="n">
        <f aca="false">IF(AN9=0,0,AN14/AN9)</f>
        <v>0.0711297948305908</v>
      </c>
      <c r="AO27" s="49" t="n">
        <f aca="false">IF(AO9=0,0,AO14/AO9)</f>
        <v>0.0699107625462982</v>
      </c>
    </row>
    <row r="28" customFormat="false" ht="15" hidden="false" customHeight="false" outlineLevel="0" collapsed="false">
      <c r="A28" s="7" t="s">
        <v>290</v>
      </c>
      <c r="B28" s="2"/>
      <c r="C28" s="22" t="n">
        <f aca="false">IF(C9=0,0,C16/C9)</f>
        <v>-0.237642134481882</v>
      </c>
      <c r="D28" s="22" t="n">
        <f aca="false">IF(D9=0,0,D16/D9)</f>
        <v>-0.14026040805854</v>
      </c>
      <c r="E28" s="22" t="n">
        <f aca="false">IF(E9=0,0,E16/E9)</f>
        <v>0.0334815897977632</v>
      </c>
      <c r="F28" s="22" t="n">
        <f aca="false">IF(F9=0,0,F16/F9)</f>
        <v>0.0583951691191498</v>
      </c>
      <c r="G28" s="22" t="n">
        <f aca="false">IF(G9=0,0,G16/G9)</f>
        <v>0.12198431210837</v>
      </c>
      <c r="H28" s="22" t="n">
        <f aca="false">IF(H9=0,0,H16/H9)</f>
        <v>0.140338716387843</v>
      </c>
      <c r="I28" s="22" t="n">
        <f aca="false">IF(I9=0,0,I16/I9)</f>
        <v>0.147485096502951</v>
      </c>
      <c r="J28" s="22" t="n">
        <f aca="false">IF(J9=0,0,J16/J9)</f>
        <v>0.138077040124368</v>
      </c>
      <c r="K28" s="22" t="n">
        <f aca="false">IF(K9=0,0,K16/K9)</f>
        <v>0.115755652207235</v>
      </c>
      <c r="L28" s="22" t="n">
        <f aca="false">IF(L9=0,0,L16/L9)</f>
        <v>0.123259351328099</v>
      </c>
      <c r="M28" s="22" t="n">
        <f aca="false">IF(M9=0,0,M16/M9)</f>
        <v>0.105220053272689</v>
      </c>
      <c r="N28" s="22" t="n">
        <f aca="false">IF(N9=0,0,N16/N9)</f>
        <v>0.133234658164803</v>
      </c>
      <c r="O28" s="22" t="n">
        <f aca="false">IF(O9=0,0,O16/O9)</f>
        <v>0.0831967112492975</v>
      </c>
      <c r="P28" s="22" t="n">
        <f aca="false">IF(P9=0,0,P16/P9)</f>
        <v>0.0787438334690555</v>
      </c>
      <c r="Q28" s="22" t="n">
        <f aca="false">IF(Q9=0,0,Q16/Q9)</f>
        <v>0.138077040124368</v>
      </c>
      <c r="R28" s="22" t="n">
        <f aca="false">IF(R9=0,0,R16/R9)</f>
        <v>0.13079189534683</v>
      </c>
      <c r="S28" s="22" t="n">
        <f aca="false">IF(S9=0,0,S16/S9)</f>
        <v>0.161597181070826</v>
      </c>
      <c r="T28" s="22" t="n">
        <f aca="false">IF(T9=0,0,T16/T9)</f>
        <v>0.154658947949362</v>
      </c>
      <c r="U28" s="22" t="n">
        <f aca="false">IF(U9=0,0,U16/U9)</f>
        <v>0.161597181070826</v>
      </c>
      <c r="V28" s="22" t="n">
        <f aca="false">IF(V9=0,0,V16/V9)</f>
        <v>0.152463145751813</v>
      </c>
      <c r="W28" s="22" t="n">
        <f aca="false">IF(W9=0,0,W16/W9)</f>
        <v>0.13079189534683</v>
      </c>
      <c r="X28" s="22" t="n">
        <f aca="false">IF(X9=0,0,X16/X9)</f>
        <v>0.138077040124368</v>
      </c>
      <c r="Y28" s="22" t="n">
        <f aca="false">IF(Y9=0,0,Y16/Y9)</f>
        <v>0.120563158517173</v>
      </c>
      <c r="Z28" s="22" t="n">
        <f aca="false">IF(Z9=0,0,Z16/Z9)</f>
        <v>0.147761804043498</v>
      </c>
      <c r="AA28" s="22" t="n">
        <f aca="false">IF(AA9=0,0,AA16/AA9)</f>
        <v>0.0939575600483308</v>
      </c>
      <c r="AB28" s="22" t="n">
        <f aca="false">IF(AB9=0,0,AB16/AB9)</f>
        <v>0.0807004511289694</v>
      </c>
      <c r="AC28" s="22" t="n">
        <f aca="false">IF(AC9=0,0,AC16/AC9)</f>
        <v>0.147761804043498</v>
      </c>
      <c r="AD28" s="22" t="n">
        <f aca="false">IF(AD9=0,0,AD16/AD9)</f>
        <v>0.14061950524199</v>
      </c>
      <c r="AE28" s="22" t="n">
        <f aca="false">IF(AE9=0,0,AE16/AE9)</f>
        <v>0.170820765755712</v>
      </c>
      <c r="AF28" s="22" t="n">
        <f aca="false">IF(AF9=0,0,AF16/AF9)</f>
        <v>0.164018576420943</v>
      </c>
      <c r="AG28" s="22" t="n">
        <f aca="false">IF(AG9=0,0,AG16/AG9)</f>
        <v>0.170820765755712</v>
      </c>
      <c r="AH28" s="22" t="n">
        <f aca="false">IF(AH9=0,0,AH16/AH9)</f>
        <v>0.161865829168444</v>
      </c>
      <c r="AI28" s="22" t="n">
        <f aca="false">IF(AI9=0,0,AI16/AI9)</f>
        <v>0.14061950524199</v>
      </c>
      <c r="AJ28" s="22" t="n">
        <f aca="false">IF(AJ9=0,0,AJ16/AJ9)</f>
        <v>0.147761804043498</v>
      </c>
      <c r="AK28" s="22" t="n">
        <f aca="false">IF(AK9=0,0,AK16/AK9)</f>
        <v>0.130591331879582</v>
      </c>
      <c r="AL28" s="22" t="n">
        <f aca="false">IF(AL9=0,0,AL16/AL9)</f>
        <v>0.15725667063088</v>
      </c>
      <c r="AM28" s="49" t="n">
        <f aca="false">IF(AM9=0,0,AM16/AM9)</f>
        <v>0.0807755227921632</v>
      </c>
      <c r="AN28" s="49" t="n">
        <f aca="false">IF(AN9=0,0,AN16/AN9)</f>
        <v>0.134670829010356</v>
      </c>
      <c r="AO28" s="49" t="n">
        <f aca="false">IF(AO9=0,0,AO16/AO9)</f>
        <v>0.143933341714521</v>
      </c>
    </row>
    <row r="29" customFormat="false" ht="15" hidden="false" customHeight="false" outlineLevel="0" collapsed="false">
      <c r="A29" s="7" t="s">
        <v>291</v>
      </c>
      <c r="B29" s="2"/>
      <c r="C29" s="22" t="n">
        <f aca="false">IF(C9=0,0,C21/C9)</f>
        <v>-0.389394873936716</v>
      </c>
      <c r="D29" s="22" t="n">
        <f aca="false">IF(D9=0,0,D21/D9)</f>
        <v>-0.282411862563814</v>
      </c>
      <c r="E29" s="22" t="n">
        <f aca="false">IF(E9=0,0,E21/E9)</f>
        <v>-0.0705277711535418</v>
      </c>
      <c r="F29" s="22" t="n">
        <f aca="false">IF(F9=0,0,F21/F9)</f>
        <v>-0.0428965781398169</v>
      </c>
      <c r="G29" s="22" t="n">
        <f aca="false">IF(G9=0,0,G21/G9)</f>
        <v>0.0337295717761549</v>
      </c>
      <c r="H29" s="22" t="n">
        <f aca="false">IF(H9=0,0,H21/H9)</f>
        <v>0.0538883571772678</v>
      </c>
      <c r="I29" s="22" t="n">
        <f aca="false">IF(I9=0,0,I21/I9)</f>
        <v>0.0640054021241062</v>
      </c>
      <c r="J29" s="22" t="n">
        <f aca="false">IF(J9=0,0,J21/J9)</f>
        <v>0.0531634801767461</v>
      </c>
      <c r="K29" s="22" t="n">
        <f aca="false">IF(K9=0,0,K21/K9)</f>
        <v>0.0255801984406248</v>
      </c>
      <c r="L29" s="22" t="n">
        <f aca="false">IF(L9=0,0,L21/L9)</f>
        <v>0.036188882739295</v>
      </c>
      <c r="M29" s="22" t="n">
        <f aca="false">IF(M9=0,0,M21/M9)</f>
        <v>0.0136196366911068</v>
      </c>
      <c r="N29" s="22" t="n">
        <f aca="false">IF(N9=0,0,N21/N9)</f>
        <v>0.048261024031185</v>
      </c>
      <c r="O29" s="22" t="n">
        <f aca="false">IF(O9=0,0,O21/O9)</f>
        <v>-0.0073677093758426</v>
      </c>
      <c r="P29" s="22" t="n">
        <f aca="false">IF(P9=0,0,P21/P9)</f>
        <v>-0.0157394503090581</v>
      </c>
      <c r="Q29" s="22" t="n">
        <f aca="false">IF(Q9=0,0,Q21/Q9)</f>
        <v>0.0569535314027025</v>
      </c>
      <c r="R29" s="22" t="n">
        <f aca="false">IF(R9=0,0,R21/R9)</f>
        <v>0.0471655233906325</v>
      </c>
      <c r="S29" s="22" t="n">
        <f aca="false">IF(S9=0,0,S21/S9)</f>
        <v>0.0847092941922404</v>
      </c>
      <c r="T29" s="22" t="n">
        <f aca="false">IF(T9=0,0,T21/T9)</f>
        <v>0.0754031706238658</v>
      </c>
      <c r="U29" s="22" t="n">
        <f aca="false">IF(U9=0,0,U21/U9)</f>
        <v>0.0850884407958028</v>
      </c>
      <c r="V29" s="22" t="n">
        <f aca="false">IF(V9=0,0,V21/V9)</f>
        <v>0.0746645933523412</v>
      </c>
      <c r="W29" s="22" t="n">
        <f aca="false">IF(W9=0,0,W21/W9)</f>
        <v>0.0481985167552565</v>
      </c>
      <c r="X29" s="22" t="n">
        <f aca="false">IF(X9=0,0,X21/X9)</f>
        <v>0.0583531770211084</v>
      </c>
      <c r="Y29" s="22" t="n">
        <f aca="false">IF(Y9=0,0,Y21/Y9)</f>
        <v>0.0367188561144065</v>
      </c>
      <c r="Z29" s="22" t="n">
        <f aca="false">IF(Z9=0,0,Z21/Z9)</f>
        <v>0.0700088289009297</v>
      </c>
      <c r="AA29" s="22" t="n">
        <f aca="false">IF(AA9=0,0,AA21/AA9)</f>
        <v>0.0103044226030913</v>
      </c>
      <c r="AB29" s="22" t="n">
        <f aca="false">IF(AB9=0,0,AB21/AB9)</f>
        <v>-0.00965873351964826</v>
      </c>
      <c r="AC29" s="22" t="n">
        <f aca="false">IF(AC9=0,0,AC21/AC9)</f>
        <v>0.0728802622236403</v>
      </c>
      <c r="AD29" s="22" t="n">
        <f aca="false">IF(AD9=0,0,AD21/AD9)</f>
        <v>0.063454583432603</v>
      </c>
      <c r="AE29" s="22" t="n">
        <f aca="false">IF(AE9=0,0,AE21/AE9)</f>
        <v>0.0998987477555904</v>
      </c>
      <c r="AF29" s="22" t="n">
        <f aca="false">IF(AF9=0,0,AF21/AF9)</f>
        <v>0.0909385953795775</v>
      </c>
      <c r="AG29" s="22" t="n">
        <f aca="false">IF(AG9=0,0,AG21/AG9)</f>
        <v>0.100299404397035</v>
      </c>
      <c r="AH29" s="22" t="n">
        <f aca="false">IF(AH9=0,0,AH21/AH9)</f>
        <v>0.090182023433891</v>
      </c>
      <c r="AI29" s="22" t="n">
        <f aca="false">IF(AI9=0,0,AI21/AI9)</f>
        <v>0.0645461813744452</v>
      </c>
      <c r="AJ29" s="22" t="n">
        <f aca="false">IF(AJ9=0,0,AJ21/AJ9)</f>
        <v>0.0743593136180473</v>
      </c>
      <c r="AK29" s="22" t="n">
        <f aca="false">IF(AK9=0,0,AK21/AK9)</f>
        <v>0.0534248057447431</v>
      </c>
      <c r="AL29" s="22" t="n">
        <f aca="false">IF(AL9=0,0,AL21/AL9)</f>
        <v>0.0857242482127956</v>
      </c>
      <c r="AM29" s="49" t="n">
        <f aca="false">IF(AM9=0,0,AM21/AM9)</f>
        <v>-0.0152988018073584</v>
      </c>
      <c r="AN29" s="49" t="n">
        <f aca="false">IF(AN9=0,0,AN21/AN9)</f>
        <v>0.052957451434045</v>
      </c>
      <c r="AO29" s="49" t="n">
        <f aca="false">IF(AO9=0,0,AO21/AO9)</f>
        <v>0.0684125622056261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4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O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8" min="3" style="0" width="11"/>
    <col collapsed="false" customWidth="true" hidden="false" outlineLevel="0" max="41" min="39" style="0" width="13"/>
  </cols>
  <sheetData>
    <row r="1" customFormat="false" ht="17.35" hidden="false" customHeight="false" outlineLevel="0" collapsed="false">
      <c r="A1" s="1" t="s">
        <v>292</v>
      </c>
    </row>
    <row r="2" customFormat="false" ht="15" hidden="false" customHeight="false" outlineLevel="0" collapsed="false">
      <c r="A2" s="2" t="s">
        <v>293</v>
      </c>
    </row>
    <row r="4" customFormat="false" ht="15" hidden="false" customHeight="false" outlineLevel="0" collapsed="false">
      <c r="A4" s="3" t="s">
        <v>202</v>
      </c>
      <c r="C4" s="29" t="n">
        <v>1</v>
      </c>
      <c r="D4" s="29" t="n">
        <v>2</v>
      </c>
      <c r="E4" s="29" t="n">
        <v>3</v>
      </c>
      <c r="F4" s="29" t="n">
        <v>4</v>
      </c>
      <c r="G4" s="29" t="n">
        <v>5</v>
      </c>
      <c r="H4" s="29" t="n">
        <v>6</v>
      </c>
      <c r="I4" s="29" t="n">
        <v>7</v>
      </c>
      <c r="J4" s="29" t="n">
        <v>8</v>
      </c>
      <c r="K4" s="29" t="n">
        <v>9</v>
      </c>
      <c r="L4" s="29" t="n">
        <v>10</v>
      </c>
      <c r="M4" s="29" t="n">
        <v>11</v>
      </c>
      <c r="N4" s="29" t="n">
        <v>12</v>
      </c>
      <c r="O4" s="29" t="n">
        <v>13</v>
      </c>
      <c r="P4" s="29" t="n">
        <v>14</v>
      </c>
      <c r="Q4" s="29" t="n">
        <v>15</v>
      </c>
      <c r="R4" s="29" t="n">
        <v>16</v>
      </c>
      <c r="S4" s="29" t="n">
        <v>17</v>
      </c>
      <c r="T4" s="29" t="n">
        <v>18</v>
      </c>
      <c r="U4" s="29" t="n">
        <v>19</v>
      </c>
      <c r="V4" s="29" t="n">
        <v>20</v>
      </c>
      <c r="W4" s="29" t="n">
        <v>21</v>
      </c>
      <c r="X4" s="29" t="n">
        <v>22</v>
      </c>
      <c r="Y4" s="29" t="n">
        <v>23</v>
      </c>
      <c r="Z4" s="29" t="n">
        <v>24</v>
      </c>
      <c r="AA4" s="29" t="n">
        <v>25</v>
      </c>
      <c r="AB4" s="29" t="n">
        <v>26</v>
      </c>
      <c r="AC4" s="29" t="n">
        <v>27</v>
      </c>
      <c r="AD4" s="29" t="n">
        <v>28</v>
      </c>
      <c r="AE4" s="29" t="n">
        <v>29</v>
      </c>
      <c r="AF4" s="29" t="n">
        <v>30</v>
      </c>
      <c r="AG4" s="29" t="n">
        <v>31</v>
      </c>
      <c r="AH4" s="29" t="n">
        <v>32</v>
      </c>
      <c r="AI4" s="29" t="n">
        <v>33</v>
      </c>
      <c r="AJ4" s="29" t="n">
        <v>34</v>
      </c>
      <c r="AK4" s="29" t="n">
        <v>35</v>
      </c>
      <c r="AL4" s="29" t="n">
        <v>36</v>
      </c>
      <c r="AM4" s="30" t="s">
        <v>203</v>
      </c>
      <c r="AN4" s="30" t="s">
        <v>203</v>
      </c>
      <c r="AO4" s="30" t="s">
        <v>203</v>
      </c>
    </row>
    <row r="5" customFormat="false" ht="15" hidden="false" customHeight="false" outlineLevel="0" collapsed="false">
      <c r="A5" s="3" t="s">
        <v>204</v>
      </c>
      <c r="C5" s="31" t="n">
        <f aca="false">INT((C4-1)/12)+1</f>
        <v>1</v>
      </c>
      <c r="D5" s="31" t="n">
        <f aca="false">INT((D4-1)/12)+1</f>
        <v>1</v>
      </c>
      <c r="E5" s="31" t="n">
        <f aca="false">INT((E4-1)/12)+1</f>
        <v>1</v>
      </c>
      <c r="F5" s="31" t="n">
        <f aca="false">INT((F4-1)/12)+1</f>
        <v>1</v>
      </c>
      <c r="G5" s="31" t="n">
        <f aca="false">INT((G4-1)/12)+1</f>
        <v>1</v>
      </c>
      <c r="H5" s="31" t="n">
        <f aca="false">INT((H4-1)/12)+1</f>
        <v>1</v>
      </c>
      <c r="I5" s="31" t="n">
        <f aca="false">INT((I4-1)/12)+1</f>
        <v>1</v>
      </c>
      <c r="J5" s="31" t="n">
        <f aca="false">INT((J4-1)/12)+1</f>
        <v>1</v>
      </c>
      <c r="K5" s="31" t="n">
        <f aca="false">INT((K4-1)/12)+1</f>
        <v>1</v>
      </c>
      <c r="L5" s="31" t="n">
        <f aca="false">INT((L4-1)/12)+1</f>
        <v>1</v>
      </c>
      <c r="M5" s="31" t="n">
        <f aca="false">INT((M4-1)/12)+1</f>
        <v>1</v>
      </c>
      <c r="N5" s="31" t="n">
        <f aca="false">INT((N4-1)/12)+1</f>
        <v>1</v>
      </c>
      <c r="O5" s="31" t="n">
        <f aca="false">INT((O4-1)/12)+1</f>
        <v>2</v>
      </c>
      <c r="P5" s="31" t="n">
        <f aca="false">INT((P4-1)/12)+1</f>
        <v>2</v>
      </c>
      <c r="Q5" s="31" t="n">
        <f aca="false">INT((Q4-1)/12)+1</f>
        <v>2</v>
      </c>
      <c r="R5" s="31" t="n">
        <f aca="false">INT((R4-1)/12)+1</f>
        <v>2</v>
      </c>
      <c r="S5" s="31" t="n">
        <f aca="false">INT((S4-1)/12)+1</f>
        <v>2</v>
      </c>
      <c r="T5" s="31" t="n">
        <f aca="false">INT((T4-1)/12)+1</f>
        <v>2</v>
      </c>
      <c r="U5" s="31" t="n">
        <f aca="false">INT((U4-1)/12)+1</f>
        <v>2</v>
      </c>
      <c r="V5" s="31" t="n">
        <f aca="false">INT((V4-1)/12)+1</f>
        <v>2</v>
      </c>
      <c r="W5" s="31" t="n">
        <f aca="false">INT((W4-1)/12)+1</f>
        <v>2</v>
      </c>
      <c r="X5" s="31" t="n">
        <f aca="false">INT((X4-1)/12)+1</f>
        <v>2</v>
      </c>
      <c r="Y5" s="31" t="n">
        <f aca="false">INT((Y4-1)/12)+1</f>
        <v>2</v>
      </c>
      <c r="Z5" s="31" t="n">
        <f aca="false">INT((Z4-1)/12)+1</f>
        <v>2</v>
      </c>
      <c r="AA5" s="31" t="n">
        <f aca="false">INT((AA4-1)/12)+1</f>
        <v>3</v>
      </c>
      <c r="AB5" s="31" t="n">
        <f aca="false">INT((AB4-1)/12)+1</f>
        <v>3</v>
      </c>
      <c r="AC5" s="31" t="n">
        <f aca="false">INT((AC4-1)/12)+1</f>
        <v>3</v>
      </c>
      <c r="AD5" s="31" t="n">
        <f aca="false">INT((AD4-1)/12)+1</f>
        <v>3</v>
      </c>
      <c r="AE5" s="31" t="n">
        <f aca="false">INT((AE4-1)/12)+1</f>
        <v>3</v>
      </c>
      <c r="AF5" s="31" t="n">
        <f aca="false">INT((AF4-1)/12)+1</f>
        <v>3</v>
      </c>
      <c r="AG5" s="31" t="n">
        <f aca="false">INT((AG4-1)/12)+1</f>
        <v>3</v>
      </c>
      <c r="AH5" s="31" t="n">
        <f aca="false">INT((AH4-1)/12)+1</f>
        <v>3</v>
      </c>
      <c r="AI5" s="31" t="n">
        <f aca="false">INT((AI4-1)/12)+1</f>
        <v>3</v>
      </c>
      <c r="AJ5" s="31" t="n">
        <f aca="false">INT((AJ4-1)/12)+1</f>
        <v>3</v>
      </c>
      <c r="AK5" s="31" t="n">
        <f aca="false">INT((AK4-1)/12)+1</f>
        <v>3</v>
      </c>
      <c r="AL5" s="31" t="n">
        <f aca="false">INT((AL4-1)/12)+1</f>
        <v>3</v>
      </c>
      <c r="AM5" s="29" t="n">
        <v>1</v>
      </c>
      <c r="AN5" s="29" t="n">
        <v>2</v>
      </c>
      <c r="AO5" s="29" t="n">
        <v>3</v>
      </c>
    </row>
    <row r="6" customFormat="false" ht="15" hidden="false" customHeight="false" outlineLevel="0" collapsed="false">
      <c r="A6" s="5" t="s">
        <v>205</v>
      </c>
      <c r="B6" s="5" t="s">
        <v>63</v>
      </c>
      <c r="C6" s="32" t="n">
        <f aca="false">EDATE(Assumptions!$C$7,C4-1)</f>
        <v>46388</v>
      </c>
      <c r="D6" s="32" t="n">
        <f aca="false">EDATE(Assumptions!$C$7,D4-1)</f>
        <v>46419</v>
      </c>
      <c r="E6" s="32" t="n">
        <f aca="false">EDATE(Assumptions!$C$7,E4-1)</f>
        <v>46447</v>
      </c>
      <c r="F6" s="32" t="n">
        <f aca="false">EDATE(Assumptions!$C$7,F4-1)</f>
        <v>46478</v>
      </c>
      <c r="G6" s="32" t="n">
        <f aca="false">EDATE(Assumptions!$C$7,G4-1)</f>
        <v>46508</v>
      </c>
      <c r="H6" s="32" t="n">
        <f aca="false">EDATE(Assumptions!$C$7,H4-1)</f>
        <v>46539</v>
      </c>
      <c r="I6" s="32" t="n">
        <f aca="false">EDATE(Assumptions!$C$7,I4-1)</f>
        <v>46569</v>
      </c>
      <c r="J6" s="32" t="n">
        <f aca="false">EDATE(Assumptions!$C$7,J4-1)</f>
        <v>46600</v>
      </c>
      <c r="K6" s="32" t="n">
        <f aca="false">EDATE(Assumptions!$C$7,K4-1)</f>
        <v>46631</v>
      </c>
      <c r="L6" s="32" t="n">
        <f aca="false">EDATE(Assumptions!$C$7,L4-1)</f>
        <v>46661</v>
      </c>
      <c r="M6" s="32" t="n">
        <f aca="false">EDATE(Assumptions!$C$7,M4-1)</f>
        <v>46692</v>
      </c>
      <c r="N6" s="32" t="n">
        <f aca="false">EDATE(Assumptions!$C$7,N4-1)</f>
        <v>46722</v>
      </c>
      <c r="O6" s="32" t="n">
        <f aca="false">EDATE(Assumptions!$C$7,O4-1)</f>
        <v>46753</v>
      </c>
      <c r="P6" s="32" t="n">
        <f aca="false">EDATE(Assumptions!$C$7,P4-1)</f>
        <v>46784</v>
      </c>
      <c r="Q6" s="32" t="n">
        <f aca="false">EDATE(Assumptions!$C$7,Q4-1)</f>
        <v>46813</v>
      </c>
      <c r="R6" s="32" t="n">
        <f aca="false">EDATE(Assumptions!$C$7,R4-1)</f>
        <v>46844</v>
      </c>
      <c r="S6" s="32" t="n">
        <f aca="false">EDATE(Assumptions!$C$7,S4-1)</f>
        <v>46874</v>
      </c>
      <c r="T6" s="32" t="n">
        <f aca="false">EDATE(Assumptions!$C$7,T4-1)</f>
        <v>46905</v>
      </c>
      <c r="U6" s="32" t="n">
        <f aca="false">EDATE(Assumptions!$C$7,U4-1)</f>
        <v>46935</v>
      </c>
      <c r="V6" s="32" t="n">
        <f aca="false">EDATE(Assumptions!$C$7,V4-1)</f>
        <v>46966</v>
      </c>
      <c r="W6" s="32" t="n">
        <f aca="false">EDATE(Assumptions!$C$7,W4-1)</f>
        <v>46997</v>
      </c>
      <c r="X6" s="32" t="n">
        <f aca="false">EDATE(Assumptions!$C$7,X4-1)</f>
        <v>47027</v>
      </c>
      <c r="Y6" s="32" t="n">
        <f aca="false">EDATE(Assumptions!$C$7,Y4-1)</f>
        <v>47058</v>
      </c>
      <c r="Z6" s="32" t="n">
        <f aca="false">EDATE(Assumptions!$C$7,Z4-1)</f>
        <v>47088</v>
      </c>
      <c r="AA6" s="32" t="n">
        <f aca="false">EDATE(Assumptions!$C$7,AA4-1)</f>
        <v>47119</v>
      </c>
      <c r="AB6" s="32" t="n">
        <f aca="false">EDATE(Assumptions!$C$7,AB4-1)</f>
        <v>47150</v>
      </c>
      <c r="AC6" s="32" t="n">
        <f aca="false">EDATE(Assumptions!$C$7,AC4-1)</f>
        <v>47178</v>
      </c>
      <c r="AD6" s="32" t="n">
        <f aca="false">EDATE(Assumptions!$C$7,AD4-1)</f>
        <v>47209</v>
      </c>
      <c r="AE6" s="32" t="n">
        <f aca="false">EDATE(Assumptions!$C$7,AE4-1)</f>
        <v>47239</v>
      </c>
      <c r="AF6" s="32" t="n">
        <f aca="false">EDATE(Assumptions!$C$7,AF4-1)</f>
        <v>47270</v>
      </c>
      <c r="AG6" s="32" t="n">
        <f aca="false">EDATE(Assumptions!$C$7,AG4-1)</f>
        <v>47300</v>
      </c>
      <c r="AH6" s="32" t="n">
        <f aca="false">EDATE(Assumptions!$C$7,AH4-1)</f>
        <v>47331</v>
      </c>
      <c r="AI6" s="32" t="n">
        <f aca="false">EDATE(Assumptions!$C$7,AI4-1)</f>
        <v>47362</v>
      </c>
      <c r="AJ6" s="32" t="n">
        <f aca="false">EDATE(Assumptions!$C$7,AJ4-1)</f>
        <v>47392</v>
      </c>
      <c r="AK6" s="32" t="n">
        <f aca="false">EDATE(Assumptions!$C$7,AK4-1)</f>
        <v>47423</v>
      </c>
      <c r="AL6" s="32" t="n">
        <f aca="false">EDATE(Assumptions!$C$7,AL4-1)</f>
        <v>47453</v>
      </c>
      <c r="AM6" s="33" t="s">
        <v>206</v>
      </c>
      <c r="AN6" s="33" t="s">
        <v>207</v>
      </c>
      <c r="AO6" s="33" t="s">
        <v>208</v>
      </c>
    </row>
    <row r="7" customFormat="false" ht="15" hidden="false" customHeight="false" outlineLevel="0" collapsed="false">
      <c r="A7" s="7" t="s">
        <v>294</v>
      </c>
      <c r="B7" s="2"/>
      <c r="C7" s="48" t="n">
        <f aca="false">'P&amp;L'!C21</f>
        <v>-28432.0025346286</v>
      </c>
      <c r="D7" s="48" t="n">
        <f aca="false">'P&amp;L'!D21</f>
        <v>-21967.9593530589</v>
      </c>
      <c r="E7" s="48" t="n">
        <f aca="false">'P&amp;L'!E21</f>
        <v>-7482.39167322538</v>
      </c>
      <c r="F7" s="48" t="n">
        <f aca="false">'P&amp;L'!F21</f>
        <v>-4663.22180678072</v>
      </c>
      <c r="G7" s="48" t="n">
        <f aca="false">'P&amp;L'!G21</f>
        <v>4199.37912340103</v>
      </c>
      <c r="H7" s="48" t="n">
        <f aca="false">'P&amp;L'!H21</f>
        <v>6834.47496484418</v>
      </c>
      <c r="I7" s="48" t="n">
        <f aca="false">'P&amp;L'!I21</f>
        <v>8388.17113857766</v>
      </c>
      <c r="J7" s="48" t="n">
        <f aca="false">'P&amp;L'!J21</f>
        <v>6834.58234852843</v>
      </c>
      <c r="K7" s="48" t="n">
        <f aca="false">'P&amp;L'!K21</f>
        <v>3089.76054508743</v>
      </c>
      <c r="L7" s="48" t="n">
        <f aca="false">'P&amp;L'!L21</f>
        <v>4516.85894444803</v>
      </c>
      <c r="M7" s="48" t="n">
        <f aca="false">'P&amp;L'!M21</f>
        <v>1612.17622531733</v>
      </c>
      <c r="N7" s="48" t="n">
        <f aca="false">'P&amp;L'!N21</f>
        <v>6144.09691579997</v>
      </c>
      <c r="O7" s="48" t="n">
        <f aca="false">'P&amp;L'!O21</f>
        <v>-878.032918334903</v>
      </c>
      <c r="P7" s="48" t="n">
        <f aca="false">'P&amp;L'!P21</f>
        <v>-1793.69870518011</v>
      </c>
      <c r="Q7" s="48" t="n">
        <f aca="false">'P&amp;L'!Q21</f>
        <v>7541.47785454756</v>
      </c>
      <c r="R7" s="48" t="n">
        <f aca="false">'P&amp;L'!R21</f>
        <v>6043.93828965855</v>
      </c>
      <c r="S7" s="48" t="n">
        <f aca="false">'P&amp;L'!S21</f>
        <v>11777.5827594171</v>
      </c>
      <c r="T7" s="48" t="n">
        <f aca="false">'P&amp;L'!T21</f>
        <v>10145.519040186</v>
      </c>
      <c r="U7" s="48" t="n">
        <f aca="false">'P&amp;L'!U21</f>
        <v>11830.297524001</v>
      </c>
      <c r="V7" s="48" t="n">
        <f aca="false">'P&amp;L'!V21</f>
        <v>10183.2810770453</v>
      </c>
      <c r="W7" s="48" t="n">
        <f aca="false">'P&amp;L'!W21</f>
        <v>6176.30930349647</v>
      </c>
      <c r="X7" s="48" t="n">
        <f aca="false">'P&amp;L'!X21</f>
        <v>7726.81133915254</v>
      </c>
      <c r="Y7" s="48" t="n">
        <f aca="false">'P&amp;L'!Y21</f>
        <v>4611.16414658663</v>
      </c>
      <c r="Z7" s="48" t="n">
        <f aca="false">'P&amp;L'!Z21</f>
        <v>9455.59336131349</v>
      </c>
      <c r="AA7" s="48" t="n">
        <f aca="false">'P&amp;L'!AA21</f>
        <v>1290.14751409202</v>
      </c>
      <c r="AB7" s="48" t="n">
        <f aca="false">'P&amp;L'!AB21</f>
        <v>-1116.5483856244</v>
      </c>
      <c r="AC7" s="48" t="n">
        <f aca="false">'P&amp;L'!AC21</f>
        <v>10138.7199086942</v>
      </c>
      <c r="AD7" s="48" t="n">
        <f aca="false">'P&amp;L'!AD21</f>
        <v>8542.71184060847</v>
      </c>
      <c r="AE7" s="48" t="n">
        <f aca="false">'P&amp;L'!AE21</f>
        <v>14592.2594322721</v>
      </c>
      <c r="AF7" s="48" t="n">
        <f aca="false">'P&amp;L'!AF21</f>
        <v>12854.9473051017</v>
      </c>
      <c r="AG7" s="48" t="n">
        <f aca="false">'P&amp;L'!AG21</f>
        <v>14650.7835458029</v>
      </c>
      <c r="AH7" s="48" t="n">
        <f aca="false">'P&amp;L'!AH21</f>
        <v>12922.0197067554</v>
      </c>
      <c r="AI7" s="48" t="n">
        <f aca="false">'P&amp;L'!AI21</f>
        <v>8689.67059691113</v>
      </c>
      <c r="AJ7" s="48" t="n">
        <f aca="false">'P&amp;L'!AJ21</f>
        <v>10344.4777827869</v>
      </c>
      <c r="AK7" s="48" t="n">
        <f aca="false">'P&amp;L'!AK21</f>
        <v>7048.58249807157</v>
      </c>
      <c r="AL7" s="48" t="n">
        <f aca="false">'P&amp;L'!AL21</f>
        <v>12164.0180455554</v>
      </c>
      <c r="AM7" s="44" t="n">
        <f aca="false">SUMIF($C$5:$AL$5,AM$5,$C7:$AL7)</f>
        <v>-20926.0751616895</v>
      </c>
      <c r="AN7" s="44" t="n">
        <f aca="false">SUMIF($C$5:$AL$5,AN$5,$C7:$AL7)</f>
        <v>82820.2430718896</v>
      </c>
      <c r="AO7" s="44" t="n">
        <f aca="false">SUMIF($C$5:$AL$5,AO$5,$C7:$AL7)</f>
        <v>112121.789791027</v>
      </c>
    </row>
    <row r="8" customFormat="false" ht="15" hidden="false" customHeight="false" outlineLevel="0" collapsed="false">
      <c r="A8" s="7" t="s">
        <v>295</v>
      </c>
      <c r="B8" s="2"/>
      <c r="C8" s="48" t="n">
        <f aca="false">'P&amp;L'!C17</f>
        <v>6267.85714285714</v>
      </c>
      <c r="D8" s="48" t="n">
        <f aca="false">'P&amp;L'!D17</f>
        <v>6267.85714285714</v>
      </c>
      <c r="E8" s="48" t="n">
        <f aca="false">'P&amp;L'!E17</f>
        <v>6267.85714285714</v>
      </c>
      <c r="F8" s="48" t="n">
        <f aca="false">'P&amp;L'!F17</f>
        <v>6267.85714285714</v>
      </c>
      <c r="G8" s="48" t="n">
        <f aca="false">'P&amp;L'!G17</f>
        <v>6267.85714285714</v>
      </c>
      <c r="H8" s="48" t="n">
        <f aca="false">'P&amp;L'!H17</f>
        <v>6267.85714285714</v>
      </c>
      <c r="I8" s="48" t="n">
        <f aca="false">'P&amp;L'!I17</f>
        <v>6267.85714285714</v>
      </c>
      <c r="J8" s="48" t="n">
        <f aca="false">'P&amp;L'!J17</f>
        <v>6267.85714285714</v>
      </c>
      <c r="K8" s="48" t="n">
        <f aca="false">'P&amp;L'!K17</f>
        <v>6267.85714285714</v>
      </c>
      <c r="L8" s="48" t="n">
        <f aca="false">'P&amp;L'!L17</f>
        <v>6267.85714285714</v>
      </c>
      <c r="M8" s="48" t="n">
        <f aca="false">'P&amp;L'!M17</f>
        <v>6267.85714285714</v>
      </c>
      <c r="N8" s="48" t="n">
        <f aca="false">'P&amp;L'!N17</f>
        <v>6267.85714285714</v>
      </c>
      <c r="O8" s="48" t="n">
        <f aca="false">'P&amp;L'!O17</f>
        <v>6267.85714285714</v>
      </c>
      <c r="P8" s="48" t="n">
        <f aca="false">'P&amp;L'!P17</f>
        <v>6267.85714285714</v>
      </c>
      <c r="Q8" s="48" t="n">
        <f aca="false">'P&amp;L'!Q17</f>
        <v>6267.85714285714</v>
      </c>
      <c r="R8" s="48" t="n">
        <f aca="false">'P&amp;L'!R17</f>
        <v>6267.85714285714</v>
      </c>
      <c r="S8" s="48" t="n">
        <f aca="false">'P&amp;L'!S17</f>
        <v>6267.85714285714</v>
      </c>
      <c r="T8" s="48" t="n">
        <f aca="false">'P&amp;L'!T17</f>
        <v>6267.85714285714</v>
      </c>
      <c r="U8" s="48" t="n">
        <f aca="false">'P&amp;L'!U17</f>
        <v>6267.85714285714</v>
      </c>
      <c r="V8" s="48" t="n">
        <f aca="false">'P&amp;L'!V17</f>
        <v>6267.85714285714</v>
      </c>
      <c r="W8" s="48" t="n">
        <f aca="false">'P&amp;L'!W17</f>
        <v>6267.85714285714</v>
      </c>
      <c r="X8" s="48" t="n">
        <f aca="false">'P&amp;L'!X17</f>
        <v>6267.85714285714</v>
      </c>
      <c r="Y8" s="48" t="n">
        <f aca="false">'P&amp;L'!Y17</f>
        <v>6267.85714285714</v>
      </c>
      <c r="Z8" s="48" t="n">
        <f aca="false">'P&amp;L'!Z17</f>
        <v>6267.85714285714</v>
      </c>
      <c r="AA8" s="48" t="n">
        <f aca="false">'P&amp;L'!AA17</f>
        <v>6267.85714285714</v>
      </c>
      <c r="AB8" s="48" t="n">
        <f aca="false">'P&amp;L'!AB17</f>
        <v>6267.85714285714</v>
      </c>
      <c r="AC8" s="48" t="n">
        <f aca="false">'P&amp;L'!AC17</f>
        <v>6267.85714285714</v>
      </c>
      <c r="AD8" s="48" t="n">
        <f aca="false">'P&amp;L'!AD17</f>
        <v>6267.85714285714</v>
      </c>
      <c r="AE8" s="48" t="n">
        <f aca="false">'P&amp;L'!AE17</f>
        <v>6267.85714285714</v>
      </c>
      <c r="AF8" s="48" t="n">
        <f aca="false">'P&amp;L'!AF17</f>
        <v>6267.85714285714</v>
      </c>
      <c r="AG8" s="48" t="n">
        <f aca="false">'P&amp;L'!AG17</f>
        <v>6267.85714285714</v>
      </c>
      <c r="AH8" s="48" t="n">
        <f aca="false">'P&amp;L'!AH17</f>
        <v>6267.85714285714</v>
      </c>
      <c r="AI8" s="48" t="n">
        <f aca="false">'P&amp;L'!AI17</f>
        <v>6267.85714285714</v>
      </c>
      <c r="AJ8" s="48" t="n">
        <f aca="false">'P&amp;L'!AJ17</f>
        <v>6267.85714285714</v>
      </c>
      <c r="AK8" s="48" t="n">
        <f aca="false">'P&amp;L'!AK17</f>
        <v>6267.85714285714</v>
      </c>
      <c r="AL8" s="48" t="n">
        <f aca="false">'P&amp;L'!AL17</f>
        <v>6267.85714285714</v>
      </c>
      <c r="AM8" s="44" t="n">
        <f aca="false">SUMIF($C$5:$AL$5,AM$5,$C8:$AL8)</f>
        <v>75214.2857142857</v>
      </c>
      <c r="AN8" s="44" t="n">
        <f aca="false">SUMIF($C$5:$AL$5,AN$5,$C8:$AL8)</f>
        <v>75214.2857142857</v>
      </c>
      <c r="AO8" s="44" t="n">
        <f aca="false">SUMIF($C$5:$AL$5,AO$5,$C8:$AL8)</f>
        <v>75214.2857142857</v>
      </c>
    </row>
    <row r="9" customFormat="false" ht="15" hidden="false" customHeight="false" outlineLevel="0" collapsed="false">
      <c r="A9" s="40" t="s">
        <v>296</v>
      </c>
      <c r="B9" s="41"/>
      <c r="C9" s="45" t="n">
        <f aca="false">C7+C8</f>
        <v>-22164.1453917714</v>
      </c>
      <c r="D9" s="45" t="n">
        <f aca="false">D7+D8</f>
        <v>-15700.1022102018</v>
      </c>
      <c r="E9" s="45" t="n">
        <f aca="false">E7+E8</f>
        <v>-1214.53453036823</v>
      </c>
      <c r="F9" s="45" t="n">
        <f aca="false">F7+F8</f>
        <v>1604.63533607643</v>
      </c>
      <c r="G9" s="45" t="n">
        <f aca="false">G7+G8</f>
        <v>10467.2362662582</v>
      </c>
      <c r="H9" s="45" t="n">
        <f aca="false">H7+H8</f>
        <v>13102.3321077013</v>
      </c>
      <c r="I9" s="45" t="n">
        <f aca="false">I7+I8</f>
        <v>14656.0282814348</v>
      </c>
      <c r="J9" s="45" t="n">
        <f aca="false">J7+J8</f>
        <v>13102.4394913856</v>
      </c>
      <c r="K9" s="45" t="n">
        <f aca="false">K7+K8</f>
        <v>9357.61768794457</v>
      </c>
      <c r="L9" s="45" t="n">
        <f aca="false">L7+L8</f>
        <v>10784.7160873052</v>
      </c>
      <c r="M9" s="45" t="n">
        <f aca="false">M7+M8</f>
        <v>7880.03336817447</v>
      </c>
      <c r="N9" s="45" t="n">
        <f aca="false">N7+N8</f>
        <v>12411.9540586571</v>
      </c>
      <c r="O9" s="45" t="n">
        <f aca="false">O7+O8</f>
        <v>5389.82422452224</v>
      </c>
      <c r="P9" s="45" t="n">
        <f aca="false">P7+P8</f>
        <v>4474.15843767703</v>
      </c>
      <c r="Q9" s="45" t="n">
        <f aca="false">Q7+Q8</f>
        <v>13809.3349974047</v>
      </c>
      <c r="R9" s="45" t="n">
        <f aca="false">R7+R8</f>
        <v>12311.7954325157</v>
      </c>
      <c r="S9" s="45" t="n">
        <f aca="false">S7+S8</f>
        <v>18045.4399022743</v>
      </c>
      <c r="T9" s="45" t="n">
        <f aca="false">T7+T8</f>
        <v>16413.3761830432</v>
      </c>
      <c r="U9" s="45" t="n">
        <f aca="false">U7+U8</f>
        <v>18098.1546668581</v>
      </c>
      <c r="V9" s="45" t="n">
        <f aca="false">V7+V8</f>
        <v>16451.1382199024</v>
      </c>
      <c r="W9" s="45" t="n">
        <f aca="false">W7+W8</f>
        <v>12444.1664463536</v>
      </c>
      <c r="X9" s="45" t="n">
        <f aca="false">X7+X8</f>
        <v>13994.6684820097</v>
      </c>
      <c r="Y9" s="45" t="n">
        <f aca="false">Y7+Y8</f>
        <v>10879.0212894438</v>
      </c>
      <c r="Z9" s="45" t="n">
        <f aca="false">Z7+Z8</f>
        <v>15723.4505041706</v>
      </c>
      <c r="AA9" s="45" t="n">
        <f aca="false">AA7+AA8</f>
        <v>7558.00465694916</v>
      </c>
      <c r="AB9" s="45" t="n">
        <f aca="false">AB7+AB8</f>
        <v>5151.30875723274</v>
      </c>
      <c r="AC9" s="45" t="n">
        <f aca="false">AC7+AC8</f>
        <v>16406.5770515513</v>
      </c>
      <c r="AD9" s="45" t="n">
        <f aca="false">AD7+AD8</f>
        <v>14810.5689834656</v>
      </c>
      <c r="AE9" s="45" t="n">
        <f aca="false">AE7+AE8</f>
        <v>20860.1165751293</v>
      </c>
      <c r="AF9" s="45" t="n">
        <f aca="false">AF7+AF8</f>
        <v>19122.8044479588</v>
      </c>
      <c r="AG9" s="45" t="n">
        <f aca="false">AG7+AG8</f>
        <v>20918.64068866</v>
      </c>
      <c r="AH9" s="45" t="n">
        <f aca="false">AH7+AH8</f>
        <v>19189.8768496125</v>
      </c>
      <c r="AI9" s="45" t="n">
        <f aca="false">AI7+AI8</f>
        <v>14957.5277397683</v>
      </c>
      <c r="AJ9" s="45" t="n">
        <f aca="false">AJ7+AJ8</f>
        <v>16612.334925644</v>
      </c>
      <c r="AK9" s="45" t="n">
        <f aca="false">AK7+AK8</f>
        <v>13316.4396409287</v>
      </c>
      <c r="AL9" s="45" t="n">
        <f aca="false">AL7+AL8</f>
        <v>18431.8751884125</v>
      </c>
      <c r="AM9" s="46" t="n">
        <f aca="false">SUMIF($C$5:$AL$5,AM$5,$C9:$AL9)</f>
        <v>54288.2105525962</v>
      </c>
      <c r="AN9" s="46" t="n">
        <f aca="false">SUMIF($C$5:$AL$5,AN$5,$C9:$AL9)</f>
        <v>158034.528786175</v>
      </c>
      <c r="AO9" s="46" t="n">
        <f aca="false">SUMIF($C$5:$AL$5,AO$5,$C9:$AL9)</f>
        <v>187336.075505313</v>
      </c>
    </row>
    <row r="10" customFormat="false" ht="15" hidden="false" customHeight="false" outlineLevel="0" collapsed="false">
      <c r="A10" s="7" t="s">
        <v>297</v>
      </c>
      <c r="B10" s="2"/>
      <c r="C10" s="48" t="n">
        <f aca="false">-INDEX(Loan!$F$13:$F$372,C4)</f>
        <v>-2608.92482265508</v>
      </c>
      <c r="D10" s="48" t="n">
        <f aca="false">-INDEX(Loan!$F$13:$F$372,D4)</f>
        <v>-2631.75291485332</v>
      </c>
      <c r="E10" s="48" t="n">
        <f aca="false">-INDEX(Loan!$F$13:$F$372,E4)</f>
        <v>-2654.78075285828</v>
      </c>
      <c r="F10" s="48" t="n">
        <f aca="false">-INDEX(Loan!$F$13:$F$372,F4)</f>
        <v>-2678.01008444579</v>
      </c>
      <c r="G10" s="48" t="n">
        <f aca="false">-INDEX(Loan!$F$13:$F$372,G4)</f>
        <v>-2701.44267268469</v>
      </c>
      <c r="H10" s="48" t="n">
        <f aca="false">-INDEX(Loan!$F$13:$F$372,H4)</f>
        <v>-2725.08029607068</v>
      </c>
      <c r="I10" s="48" t="n">
        <f aca="false">-INDEX(Loan!$F$13:$F$372,I4)</f>
        <v>-2748.9247486613</v>
      </c>
      <c r="J10" s="48" t="n">
        <f aca="false">-INDEX(Loan!$F$13:$F$372,J4)</f>
        <v>-2772.97784021209</v>
      </c>
      <c r="K10" s="48" t="n">
        <f aca="false">-INDEX(Loan!$F$13:$F$372,K4)</f>
        <v>-2797.24139631395</v>
      </c>
      <c r="L10" s="48" t="n">
        <f aca="false">-INDEX(Loan!$F$13:$F$372,L4)</f>
        <v>-2821.71725853169</v>
      </c>
      <c r="M10" s="48" t="n">
        <f aca="false">-INDEX(Loan!$F$13:$F$372,M4)</f>
        <v>-2846.40728454385</v>
      </c>
      <c r="N10" s="48" t="n">
        <f aca="false">-INDEX(Loan!$F$13:$F$372,N4)</f>
        <v>-2871.3133482836</v>
      </c>
      <c r="O10" s="48" t="n">
        <f aca="false">-INDEX(Loan!$F$13:$F$372,O4)</f>
        <v>-2896.43734008108</v>
      </c>
      <c r="P10" s="48" t="n">
        <f aca="false">-INDEX(Loan!$F$13:$F$372,P4)</f>
        <v>-2921.78116680679</v>
      </c>
      <c r="Q10" s="48" t="n">
        <f aca="false">-INDEX(Loan!$F$13:$F$372,Q4)</f>
        <v>-2947.34675201635</v>
      </c>
      <c r="R10" s="48" t="n">
        <f aca="false">-INDEX(Loan!$F$13:$F$372,R4)</f>
        <v>-2973.1360360965</v>
      </c>
      <c r="S10" s="48" t="n">
        <f aca="false">-INDEX(Loan!$F$13:$F$372,S4)</f>
        <v>-2999.15097641234</v>
      </c>
      <c r="T10" s="48" t="n">
        <f aca="false">-INDEX(Loan!$F$13:$F$372,T4)</f>
        <v>-3025.39354745595</v>
      </c>
      <c r="U10" s="48" t="n">
        <f aca="false">-INDEX(Loan!$F$13:$F$372,U4)</f>
        <v>-3051.86574099619</v>
      </c>
      <c r="V10" s="48" t="n">
        <f aca="false">-INDEX(Loan!$F$13:$F$372,V4)</f>
        <v>-3078.56956622991</v>
      </c>
      <c r="W10" s="48" t="n">
        <f aca="false">-INDEX(Loan!$F$13:$F$372,W4)</f>
        <v>-3105.50704993442</v>
      </c>
      <c r="X10" s="48" t="n">
        <f aca="false">-INDEX(Loan!$F$13:$F$372,X4)</f>
        <v>-3132.68023662134</v>
      </c>
      <c r="Y10" s="48" t="n">
        <f aca="false">-INDEX(Loan!$F$13:$F$372,Y4)</f>
        <v>-3160.09118869178</v>
      </c>
      <c r="Z10" s="48" t="n">
        <f aca="false">-INDEX(Loan!$F$13:$F$372,Z4)</f>
        <v>-3187.74198659283</v>
      </c>
      <c r="AA10" s="48" t="n">
        <f aca="false">-INDEX(Loan!$F$13:$F$372,AA4)</f>
        <v>-3215.63472897552</v>
      </c>
      <c r="AB10" s="48" t="n">
        <f aca="false">-INDEX(Loan!$F$13:$F$372,AB4)</f>
        <v>-3243.77153285406</v>
      </c>
      <c r="AC10" s="48" t="n">
        <f aca="false">-INDEX(Loan!$F$13:$F$372,AC4)</f>
        <v>-3272.15453376653</v>
      </c>
      <c r="AD10" s="48" t="n">
        <f aca="false">-INDEX(Loan!$F$13:$F$372,AD4)</f>
        <v>-3300.78588593699</v>
      </c>
      <c r="AE10" s="48" t="n">
        <f aca="false">-INDEX(Loan!$F$13:$F$372,AE4)</f>
        <v>-3329.66776243893</v>
      </c>
      <c r="AF10" s="48" t="n">
        <f aca="false">-INDEX(Loan!$F$13:$F$372,AF4)</f>
        <v>-3358.80235536028</v>
      </c>
      <c r="AG10" s="48" t="n">
        <f aca="false">-INDEX(Loan!$F$13:$F$372,AG4)</f>
        <v>-3388.19187596968</v>
      </c>
      <c r="AH10" s="48" t="n">
        <f aca="false">-INDEX(Loan!$F$13:$F$372,AH4)</f>
        <v>-3417.83855488441</v>
      </c>
      <c r="AI10" s="48" t="n">
        <f aca="false">-INDEX(Loan!$F$13:$F$372,AI4)</f>
        <v>-3447.74464223965</v>
      </c>
      <c r="AJ10" s="48" t="n">
        <f aca="false">-INDEX(Loan!$F$13:$F$372,AJ4)</f>
        <v>-3477.91240785925</v>
      </c>
      <c r="AK10" s="48" t="n">
        <f aca="false">-INDEX(Loan!$F$13:$F$372,AK4)</f>
        <v>-3508.34414142802</v>
      </c>
      <c r="AL10" s="48" t="n">
        <f aca="false">-INDEX(Loan!$F$13:$F$372,AL4)</f>
        <v>-3539.04215266551</v>
      </c>
      <c r="AM10" s="44" t="n">
        <f aca="false">SUMIF($C$5:$AL$5,AM$5,$C10:$AL10)</f>
        <v>-32858.5734201143</v>
      </c>
      <c r="AN10" s="44" t="n">
        <f aca="false">SUMIF($C$5:$AL$5,AN$5,$C10:$AL10)</f>
        <v>-36479.7015879355</v>
      </c>
      <c r="AO10" s="44" t="n">
        <f aca="false">SUMIF($C$5:$AL$5,AO$5,$C10:$AL10)</f>
        <v>-40499.8905743788</v>
      </c>
    </row>
    <row r="11" customFormat="false" ht="15" hidden="false" customHeight="false" outlineLevel="0" collapsed="false">
      <c r="A11" s="7" t="s">
        <v>298</v>
      </c>
      <c r="B11" s="2"/>
      <c r="C11" s="28" t="n">
        <f aca="false">-Assumptions!$C$102</f>
        <v>-0</v>
      </c>
      <c r="D11" s="28" t="n">
        <f aca="false">-Assumptions!$C$102</f>
        <v>-0</v>
      </c>
      <c r="E11" s="28" t="n">
        <f aca="false">-Assumptions!$C$102</f>
        <v>-0</v>
      </c>
      <c r="F11" s="28" t="n">
        <f aca="false">-Assumptions!$C$102</f>
        <v>-0</v>
      </c>
      <c r="G11" s="28" t="n">
        <f aca="false">-Assumptions!$C$102</f>
        <v>-0</v>
      </c>
      <c r="H11" s="28" t="n">
        <f aca="false">-Assumptions!$C$102</f>
        <v>-0</v>
      </c>
      <c r="I11" s="28" t="n">
        <f aca="false">-Assumptions!$C$102</f>
        <v>-0</v>
      </c>
      <c r="J11" s="28" t="n">
        <f aca="false">-Assumptions!$C$102</f>
        <v>-0</v>
      </c>
      <c r="K11" s="28" t="n">
        <f aca="false">-Assumptions!$C$102</f>
        <v>-0</v>
      </c>
      <c r="L11" s="28" t="n">
        <f aca="false">-Assumptions!$C$102</f>
        <v>-0</v>
      </c>
      <c r="M11" s="28" t="n">
        <f aca="false">-Assumptions!$C$102</f>
        <v>-0</v>
      </c>
      <c r="N11" s="28" t="n">
        <f aca="false">-Assumptions!$C$102</f>
        <v>-0</v>
      </c>
      <c r="O11" s="28" t="n">
        <f aca="false">-Assumptions!$C$102</f>
        <v>-0</v>
      </c>
      <c r="P11" s="28" t="n">
        <f aca="false">-Assumptions!$C$102</f>
        <v>-0</v>
      </c>
      <c r="Q11" s="28" t="n">
        <f aca="false">-Assumptions!$C$102</f>
        <v>-0</v>
      </c>
      <c r="R11" s="28" t="n">
        <f aca="false">-Assumptions!$C$102</f>
        <v>-0</v>
      </c>
      <c r="S11" s="28" t="n">
        <f aca="false">-Assumptions!$C$102</f>
        <v>-0</v>
      </c>
      <c r="T11" s="28" t="n">
        <f aca="false">-Assumptions!$C$102</f>
        <v>-0</v>
      </c>
      <c r="U11" s="28" t="n">
        <f aca="false">-Assumptions!$C$102</f>
        <v>-0</v>
      </c>
      <c r="V11" s="28" t="n">
        <f aca="false">-Assumptions!$C$102</f>
        <v>-0</v>
      </c>
      <c r="W11" s="28" t="n">
        <f aca="false">-Assumptions!$C$102</f>
        <v>-0</v>
      </c>
      <c r="X11" s="28" t="n">
        <f aca="false">-Assumptions!$C$102</f>
        <v>-0</v>
      </c>
      <c r="Y11" s="28" t="n">
        <f aca="false">-Assumptions!$C$102</f>
        <v>-0</v>
      </c>
      <c r="Z11" s="28" t="n">
        <f aca="false">-Assumptions!$C$102</f>
        <v>-0</v>
      </c>
      <c r="AA11" s="28" t="n">
        <f aca="false">-Assumptions!$C$102</f>
        <v>-0</v>
      </c>
      <c r="AB11" s="28" t="n">
        <f aca="false">-Assumptions!$C$102</f>
        <v>-0</v>
      </c>
      <c r="AC11" s="28" t="n">
        <f aca="false">-Assumptions!$C$102</f>
        <v>-0</v>
      </c>
      <c r="AD11" s="28" t="n">
        <f aca="false">-Assumptions!$C$102</f>
        <v>-0</v>
      </c>
      <c r="AE11" s="28" t="n">
        <f aca="false">-Assumptions!$C$102</f>
        <v>-0</v>
      </c>
      <c r="AF11" s="28" t="n">
        <f aca="false">-Assumptions!$C$102</f>
        <v>-0</v>
      </c>
      <c r="AG11" s="28" t="n">
        <f aca="false">-Assumptions!$C$102</f>
        <v>-0</v>
      </c>
      <c r="AH11" s="28" t="n">
        <f aca="false">-Assumptions!$C$102</f>
        <v>-0</v>
      </c>
      <c r="AI11" s="28" t="n">
        <f aca="false">-Assumptions!$C$102</f>
        <v>-0</v>
      </c>
      <c r="AJ11" s="28" t="n">
        <f aca="false">-Assumptions!$C$102</f>
        <v>-0</v>
      </c>
      <c r="AK11" s="28" t="n">
        <f aca="false">-Assumptions!$C$102</f>
        <v>-0</v>
      </c>
      <c r="AL11" s="28" t="n">
        <f aca="false">-Assumptions!$C$102</f>
        <v>-0</v>
      </c>
      <c r="AM11" s="44" t="n">
        <f aca="false">SUMIF($C$5:$AL$5,AM$5,$C11:$AL11)</f>
        <v>0</v>
      </c>
      <c r="AN11" s="44" t="n">
        <f aca="false">SUMIF($C$5:$AL$5,AN$5,$C11:$AL11)</f>
        <v>0</v>
      </c>
      <c r="AO11" s="44" t="n">
        <f aca="false">SUMIF($C$5:$AL$5,AO$5,$C11:$AL11)</f>
        <v>0</v>
      </c>
    </row>
    <row r="12" customFormat="false" ht="15" hidden="false" customHeight="false" outlineLevel="0" collapsed="false">
      <c r="A12" s="40" t="s">
        <v>299</v>
      </c>
      <c r="B12" s="41"/>
      <c r="C12" s="45" t="n">
        <f aca="false">C9+C10+C11</f>
        <v>-24773.0702144265</v>
      </c>
      <c r="D12" s="45" t="n">
        <f aca="false">D9+D10+D11</f>
        <v>-18331.8551250551</v>
      </c>
      <c r="E12" s="45" t="n">
        <f aca="false">E9+E10+E11</f>
        <v>-3869.31528322652</v>
      </c>
      <c r="F12" s="45" t="n">
        <f aca="false">F9+F10+F11</f>
        <v>-1073.37474836937</v>
      </c>
      <c r="G12" s="45" t="n">
        <f aca="false">G9+G10+G11</f>
        <v>7765.79359357348</v>
      </c>
      <c r="H12" s="45" t="n">
        <f aca="false">H9+H10+H11</f>
        <v>10377.2518116306</v>
      </c>
      <c r="I12" s="45" t="n">
        <f aca="false">I9+I10+I11</f>
        <v>11907.1035327735</v>
      </c>
      <c r="J12" s="45" t="n">
        <f aca="false">J9+J10+J11</f>
        <v>10329.4616511735</v>
      </c>
      <c r="K12" s="45" t="n">
        <f aca="false">K9+K10+K11</f>
        <v>6560.37629163063</v>
      </c>
      <c r="L12" s="45" t="n">
        <f aca="false">L9+L10+L11</f>
        <v>7962.99882877348</v>
      </c>
      <c r="M12" s="45" t="n">
        <f aca="false">M9+M10+M11</f>
        <v>5033.62608363063</v>
      </c>
      <c r="N12" s="45" t="n">
        <f aca="false">N9+N10+N11</f>
        <v>9540.64071037351</v>
      </c>
      <c r="O12" s="45" t="n">
        <f aca="false">O9+O10+O11</f>
        <v>2493.38688444116</v>
      </c>
      <c r="P12" s="45" t="n">
        <f aca="false">P9+P10+P11</f>
        <v>1552.37727087023</v>
      </c>
      <c r="Q12" s="45" t="n">
        <f aca="false">Q9+Q10+Q11</f>
        <v>10861.9882453883</v>
      </c>
      <c r="R12" s="45" t="n">
        <f aca="false">R9+R10+R11</f>
        <v>9338.6593964192</v>
      </c>
      <c r="S12" s="45" t="n">
        <f aca="false">S9+S10+S11</f>
        <v>15046.2889258619</v>
      </c>
      <c r="T12" s="45" t="n">
        <f aca="false">T9+T10+T11</f>
        <v>13387.9826355872</v>
      </c>
      <c r="U12" s="45" t="n">
        <f aca="false">U9+U10+U11</f>
        <v>15046.2889258619</v>
      </c>
      <c r="V12" s="45" t="n">
        <f aca="false">V9+V10+V11</f>
        <v>13372.5686536725</v>
      </c>
      <c r="W12" s="45" t="n">
        <f aca="false">W9+W10+W11</f>
        <v>9338.6593964192</v>
      </c>
      <c r="X12" s="45" t="n">
        <f aca="false">X9+X10+X11</f>
        <v>10861.9882453883</v>
      </c>
      <c r="Y12" s="45" t="n">
        <f aca="false">Y9+Y10+Y11</f>
        <v>7718.93010075199</v>
      </c>
      <c r="Z12" s="45" t="n">
        <f aca="false">Z9+Z10+Z11</f>
        <v>12535.7085175778</v>
      </c>
      <c r="AA12" s="45" t="n">
        <f aca="false">AA9+AA10+AA11</f>
        <v>4342.36992797364</v>
      </c>
      <c r="AB12" s="45" t="n">
        <f aca="false">AB9+AB10+AB11</f>
        <v>1907.53722437869</v>
      </c>
      <c r="AC12" s="45" t="n">
        <f aca="false">AC9+AC10+AC11</f>
        <v>13134.4225177848</v>
      </c>
      <c r="AD12" s="45" t="n">
        <f aca="false">AD9+AD10+AD11</f>
        <v>11509.7830975286</v>
      </c>
      <c r="AE12" s="45" t="n">
        <f aca="false">AE9+AE10+AE11</f>
        <v>17530.4488126903</v>
      </c>
      <c r="AF12" s="45" t="n">
        <f aca="false">AF9+AF10+AF11</f>
        <v>15764.0020925986</v>
      </c>
      <c r="AG12" s="45" t="n">
        <f aca="false">AG9+AG10+AG11</f>
        <v>17530.4488126903</v>
      </c>
      <c r="AH12" s="45" t="n">
        <f aca="false">AH9+AH10+AH11</f>
        <v>15772.0382947281</v>
      </c>
      <c r="AI12" s="45" t="n">
        <f aca="false">AI9+AI10+AI11</f>
        <v>11509.7830975286</v>
      </c>
      <c r="AJ12" s="45" t="n">
        <f aca="false">AJ9+AJ10+AJ11</f>
        <v>13134.4225177848</v>
      </c>
      <c r="AK12" s="45" t="n">
        <f aca="false">AK9+AK10+AK11</f>
        <v>9808.0954995007</v>
      </c>
      <c r="AL12" s="45" t="n">
        <f aca="false">AL9+AL10+AL11</f>
        <v>14892.833035747</v>
      </c>
      <c r="AM12" s="46" t="n">
        <f aca="false">SUMIF($C$5:$AL$5,AM$5,$C12:$AL12)</f>
        <v>21429.6371324819</v>
      </c>
      <c r="AN12" s="46" t="n">
        <f aca="false">SUMIF($C$5:$AL$5,AN$5,$C12:$AL12)</f>
        <v>121554.82719824</v>
      </c>
      <c r="AO12" s="46" t="n">
        <f aca="false">SUMIF($C$5:$AL$5,AO$5,$C12:$AL12)</f>
        <v>146836.184930934</v>
      </c>
    </row>
    <row r="14" customFormat="false" ht="15" hidden="false" customHeight="false" outlineLevel="0" collapsed="false">
      <c r="A14" s="7" t="s">
        <v>300</v>
      </c>
      <c r="B14" s="2"/>
      <c r="C14" s="28" t="n">
        <f aca="false">'Startup &amp; Funding'!$C$26</f>
        <v>75000</v>
      </c>
      <c r="D14" s="28" t="n">
        <f aca="false">C15</f>
        <v>50226.9297855735</v>
      </c>
      <c r="E14" s="28" t="n">
        <f aca="false">D15</f>
        <v>31895.0746605184</v>
      </c>
      <c r="F14" s="28" t="n">
        <f aca="false">E15</f>
        <v>28025.7593772919</v>
      </c>
      <c r="G14" s="28" t="n">
        <f aca="false">F15</f>
        <v>26952.3846289225</v>
      </c>
      <c r="H14" s="28" t="n">
        <f aca="false">G15</f>
        <v>34718.178222496</v>
      </c>
      <c r="I14" s="28" t="n">
        <f aca="false">H15</f>
        <v>45095.4300341267</v>
      </c>
      <c r="J14" s="28" t="n">
        <f aca="false">I15</f>
        <v>57002.5335669002</v>
      </c>
      <c r="K14" s="28" t="n">
        <f aca="false">J15</f>
        <v>67331.9952180736</v>
      </c>
      <c r="L14" s="28" t="n">
        <f aca="false">K15</f>
        <v>73892.3715097043</v>
      </c>
      <c r="M14" s="28" t="n">
        <f aca="false">L15</f>
        <v>81855.3703384777</v>
      </c>
      <c r="N14" s="28" t="n">
        <f aca="false">M15</f>
        <v>86888.9964221084</v>
      </c>
      <c r="O14" s="28" t="n">
        <f aca="false">N15</f>
        <v>96429.6371324819</v>
      </c>
      <c r="P14" s="28" t="n">
        <f aca="false">O15</f>
        <v>98923.024016923</v>
      </c>
      <c r="Q14" s="28" t="n">
        <f aca="false">P15</f>
        <v>100475.401287793</v>
      </c>
      <c r="R14" s="28" t="n">
        <f aca="false">Q15</f>
        <v>111337.389533182</v>
      </c>
      <c r="S14" s="28" t="n">
        <f aca="false">R15</f>
        <v>120676.048929601</v>
      </c>
      <c r="T14" s="28" t="n">
        <f aca="false">S15</f>
        <v>135722.337855463</v>
      </c>
      <c r="U14" s="28" t="n">
        <f aca="false">T15</f>
        <v>149110.32049105</v>
      </c>
      <c r="V14" s="28" t="n">
        <f aca="false">U15</f>
        <v>164156.609416912</v>
      </c>
      <c r="W14" s="28" t="n">
        <f aca="false">V15</f>
        <v>177529.178070584</v>
      </c>
      <c r="X14" s="28" t="n">
        <f aca="false">W15</f>
        <v>186867.837467004</v>
      </c>
      <c r="Y14" s="28" t="n">
        <f aca="false">X15</f>
        <v>197729.825712392</v>
      </c>
      <c r="Z14" s="28" t="n">
        <f aca="false">Y15</f>
        <v>205448.755813144</v>
      </c>
      <c r="AA14" s="28" t="n">
        <f aca="false">Z15</f>
        <v>217984.464330722</v>
      </c>
      <c r="AB14" s="28" t="n">
        <f aca="false">AA15</f>
        <v>222326.834258695</v>
      </c>
      <c r="AC14" s="28" t="n">
        <f aca="false">AB15</f>
        <v>224234.371483074</v>
      </c>
      <c r="AD14" s="28" t="n">
        <f aca="false">AC15</f>
        <v>237368.794000859</v>
      </c>
      <c r="AE14" s="28" t="n">
        <f aca="false">AD15</f>
        <v>248878.577098387</v>
      </c>
      <c r="AF14" s="28" t="n">
        <f aca="false">AE15</f>
        <v>266409.025911078</v>
      </c>
      <c r="AG14" s="28" t="n">
        <f aca="false">AF15</f>
        <v>282173.028003676</v>
      </c>
      <c r="AH14" s="28" t="n">
        <f aca="false">AG15</f>
        <v>299703.476816367</v>
      </c>
      <c r="AI14" s="28" t="n">
        <f aca="false">AH15</f>
        <v>315475.515111095</v>
      </c>
      <c r="AJ14" s="28" t="n">
        <f aca="false">AI15</f>
        <v>326985.298208623</v>
      </c>
      <c r="AK14" s="28" t="n">
        <f aca="false">AJ15</f>
        <v>340119.720726408</v>
      </c>
      <c r="AL14" s="28" t="n">
        <f aca="false">AK15</f>
        <v>349927.816225909</v>
      </c>
      <c r="AM14" s="44" t="n">
        <f aca="false">INDEX($C14:$AL14,(AM$5-1)*12+1)</f>
        <v>75000</v>
      </c>
      <c r="AN14" s="44" t="n">
        <f aca="false">INDEX($C14:$AL14,(AN$5-1)*12+1)</f>
        <v>96429.6371324819</v>
      </c>
      <c r="AO14" s="44" t="n">
        <f aca="false">INDEX($C14:$AL14,(AO$5-1)*12+1)</f>
        <v>217984.464330722</v>
      </c>
    </row>
    <row r="15" customFormat="false" ht="15" hidden="false" customHeight="false" outlineLevel="0" collapsed="false">
      <c r="A15" s="40" t="s">
        <v>301</v>
      </c>
      <c r="B15" s="41"/>
      <c r="C15" s="45" t="n">
        <f aca="false">C14+C12</f>
        <v>50226.9297855735</v>
      </c>
      <c r="D15" s="45" t="n">
        <f aca="false">D14+D12</f>
        <v>31895.0746605184</v>
      </c>
      <c r="E15" s="45" t="n">
        <f aca="false">E14+E12</f>
        <v>28025.7593772919</v>
      </c>
      <c r="F15" s="45" t="n">
        <f aca="false">F14+F12</f>
        <v>26952.3846289225</v>
      </c>
      <c r="G15" s="45" t="n">
        <f aca="false">G14+G12</f>
        <v>34718.178222496</v>
      </c>
      <c r="H15" s="45" t="n">
        <f aca="false">H14+H12</f>
        <v>45095.4300341267</v>
      </c>
      <c r="I15" s="45" t="n">
        <f aca="false">I14+I12</f>
        <v>57002.5335669002</v>
      </c>
      <c r="J15" s="45" t="n">
        <f aca="false">J14+J12</f>
        <v>67331.9952180736</v>
      </c>
      <c r="K15" s="45" t="n">
        <f aca="false">K14+K12</f>
        <v>73892.3715097043</v>
      </c>
      <c r="L15" s="45" t="n">
        <f aca="false">L14+L12</f>
        <v>81855.3703384777</v>
      </c>
      <c r="M15" s="45" t="n">
        <f aca="false">M14+M12</f>
        <v>86888.9964221084</v>
      </c>
      <c r="N15" s="45" t="n">
        <f aca="false">N14+N12</f>
        <v>96429.6371324819</v>
      </c>
      <c r="O15" s="45" t="n">
        <f aca="false">O14+O12</f>
        <v>98923.024016923</v>
      </c>
      <c r="P15" s="45" t="n">
        <f aca="false">P14+P12</f>
        <v>100475.401287793</v>
      </c>
      <c r="Q15" s="45" t="n">
        <f aca="false">Q14+Q12</f>
        <v>111337.389533182</v>
      </c>
      <c r="R15" s="45" t="n">
        <f aca="false">R14+R12</f>
        <v>120676.048929601</v>
      </c>
      <c r="S15" s="45" t="n">
        <f aca="false">S14+S12</f>
        <v>135722.337855463</v>
      </c>
      <c r="T15" s="45" t="n">
        <f aca="false">T14+T12</f>
        <v>149110.32049105</v>
      </c>
      <c r="U15" s="45" t="n">
        <f aca="false">U14+U12</f>
        <v>164156.609416912</v>
      </c>
      <c r="V15" s="45" t="n">
        <f aca="false">V14+V12</f>
        <v>177529.178070584</v>
      </c>
      <c r="W15" s="45" t="n">
        <f aca="false">W14+W12</f>
        <v>186867.837467004</v>
      </c>
      <c r="X15" s="45" t="n">
        <f aca="false">X14+X12</f>
        <v>197729.825712392</v>
      </c>
      <c r="Y15" s="45" t="n">
        <f aca="false">Y14+Y12</f>
        <v>205448.755813144</v>
      </c>
      <c r="Z15" s="45" t="n">
        <f aca="false">Z14+Z12</f>
        <v>217984.464330722</v>
      </c>
      <c r="AA15" s="45" t="n">
        <f aca="false">AA14+AA12</f>
        <v>222326.834258695</v>
      </c>
      <c r="AB15" s="45" t="n">
        <f aca="false">AB14+AB12</f>
        <v>224234.371483074</v>
      </c>
      <c r="AC15" s="45" t="n">
        <f aca="false">AC14+AC12</f>
        <v>237368.794000859</v>
      </c>
      <c r="AD15" s="45" t="n">
        <f aca="false">AD14+AD12</f>
        <v>248878.577098387</v>
      </c>
      <c r="AE15" s="45" t="n">
        <f aca="false">AE14+AE12</f>
        <v>266409.025911078</v>
      </c>
      <c r="AF15" s="45" t="n">
        <f aca="false">AF14+AF12</f>
        <v>282173.028003676</v>
      </c>
      <c r="AG15" s="45" t="n">
        <f aca="false">AG14+AG12</f>
        <v>299703.476816367</v>
      </c>
      <c r="AH15" s="45" t="n">
        <f aca="false">AH14+AH12</f>
        <v>315475.515111095</v>
      </c>
      <c r="AI15" s="45" t="n">
        <f aca="false">AI14+AI12</f>
        <v>326985.298208623</v>
      </c>
      <c r="AJ15" s="45" t="n">
        <f aca="false">AJ14+AJ12</f>
        <v>340119.720726408</v>
      </c>
      <c r="AK15" s="45" t="n">
        <f aca="false">AK14+AK12</f>
        <v>349927.816225909</v>
      </c>
      <c r="AL15" s="45" t="n">
        <f aca="false">AL14+AL12</f>
        <v>364820.649261656</v>
      </c>
      <c r="AM15" s="46" t="n">
        <f aca="false">INDEX($C15:$AL15,AM$5*12)</f>
        <v>96429.6371324819</v>
      </c>
      <c r="AN15" s="46" t="n">
        <f aca="false">INDEX($C15:$AL15,AN$5*12)</f>
        <v>217984.464330722</v>
      </c>
      <c r="AO15" s="46" t="n">
        <f aca="false">INDEX($C15:$AL15,AO$5*12)</f>
        <v>364820.649261656</v>
      </c>
    </row>
    <row r="16" customFormat="false" ht="15" hidden="false" customHeight="false" outlineLevel="0" collapsed="false">
      <c r="A16" s="7" t="s">
        <v>302</v>
      </c>
      <c r="B16" s="2"/>
      <c r="C16" s="7" t="str">
        <f aca="false">IF(C15&lt;0,"SHORT",IF(C15&lt;Assumptions!$C$91*Assumptions!$C$92,"LOW",""))</f>
        <v/>
      </c>
      <c r="D16" s="7" t="str">
        <f aca="false">IF(D15&lt;0,"SHORT",IF(D15&lt;Assumptions!$C$91*Assumptions!$C$92,"LOW",""))</f>
        <v/>
      </c>
      <c r="E16" s="7" t="str">
        <f aca="false">IF(E15&lt;0,"SHORT",IF(E15&lt;Assumptions!$C$91*Assumptions!$C$92,"LOW",""))</f>
        <v/>
      </c>
      <c r="F16" s="7" t="str">
        <f aca="false">IF(F15&lt;0,"SHORT",IF(F15&lt;Assumptions!$C$91*Assumptions!$C$92,"LOW",""))</f>
        <v/>
      </c>
      <c r="G16" s="7" t="str">
        <f aca="false">IF(G15&lt;0,"SHORT",IF(G15&lt;Assumptions!$C$91*Assumptions!$C$92,"LOW",""))</f>
        <v/>
      </c>
      <c r="H16" s="7" t="str">
        <f aca="false">IF(H15&lt;0,"SHORT",IF(H15&lt;Assumptions!$C$91*Assumptions!$C$92,"LOW",""))</f>
        <v/>
      </c>
      <c r="I16" s="7" t="str">
        <f aca="false">IF(I15&lt;0,"SHORT",IF(I15&lt;Assumptions!$C$91*Assumptions!$C$92,"LOW",""))</f>
        <v/>
      </c>
      <c r="J16" s="7" t="str">
        <f aca="false">IF(J15&lt;0,"SHORT",IF(J15&lt;Assumptions!$C$91*Assumptions!$C$92,"LOW",""))</f>
        <v/>
      </c>
      <c r="K16" s="7" t="str">
        <f aca="false">IF(K15&lt;0,"SHORT",IF(K15&lt;Assumptions!$C$91*Assumptions!$C$92,"LOW",""))</f>
        <v/>
      </c>
      <c r="L16" s="7" t="str">
        <f aca="false">IF(L15&lt;0,"SHORT",IF(L15&lt;Assumptions!$C$91*Assumptions!$C$92,"LOW",""))</f>
        <v/>
      </c>
      <c r="M16" s="7" t="str">
        <f aca="false">IF(M15&lt;0,"SHORT",IF(M15&lt;Assumptions!$C$91*Assumptions!$C$92,"LOW",""))</f>
        <v/>
      </c>
      <c r="N16" s="7" t="str">
        <f aca="false">IF(N15&lt;0,"SHORT",IF(N15&lt;Assumptions!$C$91*Assumptions!$C$92,"LOW",""))</f>
        <v/>
      </c>
      <c r="O16" s="7" t="str">
        <f aca="false">IF(O15&lt;0,"SHORT",IF(O15&lt;Assumptions!$C$91*Assumptions!$C$92,"LOW",""))</f>
        <v/>
      </c>
      <c r="P16" s="7" t="str">
        <f aca="false">IF(P15&lt;0,"SHORT",IF(P15&lt;Assumptions!$C$91*Assumptions!$C$92,"LOW",""))</f>
        <v/>
      </c>
      <c r="Q16" s="7" t="str">
        <f aca="false">IF(Q15&lt;0,"SHORT",IF(Q15&lt;Assumptions!$C$91*Assumptions!$C$92,"LOW",""))</f>
        <v/>
      </c>
      <c r="R16" s="7" t="str">
        <f aca="false">IF(R15&lt;0,"SHORT",IF(R15&lt;Assumptions!$C$91*Assumptions!$C$92,"LOW",""))</f>
        <v/>
      </c>
      <c r="S16" s="7" t="str">
        <f aca="false">IF(S15&lt;0,"SHORT",IF(S15&lt;Assumptions!$C$91*Assumptions!$C$92,"LOW",""))</f>
        <v/>
      </c>
      <c r="T16" s="7" t="str">
        <f aca="false">IF(T15&lt;0,"SHORT",IF(T15&lt;Assumptions!$C$91*Assumptions!$C$92,"LOW",""))</f>
        <v/>
      </c>
      <c r="U16" s="7" t="str">
        <f aca="false">IF(U15&lt;0,"SHORT",IF(U15&lt;Assumptions!$C$91*Assumptions!$C$92,"LOW",""))</f>
        <v/>
      </c>
      <c r="V16" s="7" t="str">
        <f aca="false">IF(V15&lt;0,"SHORT",IF(V15&lt;Assumptions!$C$91*Assumptions!$C$92,"LOW",""))</f>
        <v/>
      </c>
      <c r="W16" s="7" t="str">
        <f aca="false">IF(W15&lt;0,"SHORT",IF(W15&lt;Assumptions!$C$91*Assumptions!$C$92,"LOW",""))</f>
        <v/>
      </c>
      <c r="X16" s="7" t="str">
        <f aca="false">IF(X15&lt;0,"SHORT",IF(X15&lt;Assumptions!$C$91*Assumptions!$C$92,"LOW",""))</f>
        <v/>
      </c>
      <c r="Y16" s="7" t="str">
        <f aca="false">IF(Y15&lt;0,"SHORT",IF(Y15&lt;Assumptions!$C$91*Assumptions!$C$92,"LOW",""))</f>
        <v/>
      </c>
      <c r="Z16" s="7" t="str">
        <f aca="false">IF(Z15&lt;0,"SHORT",IF(Z15&lt;Assumptions!$C$91*Assumptions!$C$92,"LOW",""))</f>
        <v/>
      </c>
      <c r="AA16" s="7" t="str">
        <f aca="false">IF(AA15&lt;0,"SHORT",IF(AA15&lt;Assumptions!$C$91*Assumptions!$C$92,"LOW",""))</f>
        <v/>
      </c>
      <c r="AB16" s="7" t="str">
        <f aca="false">IF(AB15&lt;0,"SHORT",IF(AB15&lt;Assumptions!$C$91*Assumptions!$C$92,"LOW",""))</f>
        <v/>
      </c>
      <c r="AC16" s="7" t="str">
        <f aca="false">IF(AC15&lt;0,"SHORT",IF(AC15&lt;Assumptions!$C$91*Assumptions!$C$92,"LOW",""))</f>
        <v/>
      </c>
      <c r="AD16" s="7" t="str">
        <f aca="false">IF(AD15&lt;0,"SHORT",IF(AD15&lt;Assumptions!$C$91*Assumptions!$C$92,"LOW",""))</f>
        <v/>
      </c>
      <c r="AE16" s="7" t="str">
        <f aca="false">IF(AE15&lt;0,"SHORT",IF(AE15&lt;Assumptions!$C$91*Assumptions!$C$92,"LOW",""))</f>
        <v/>
      </c>
      <c r="AF16" s="7" t="str">
        <f aca="false">IF(AF15&lt;0,"SHORT",IF(AF15&lt;Assumptions!$C$91*Assumptions!$C$92,"LOW",""))</f>
        <v/>
      </c>
      <c r="AG16" s="7" t="str">
        <f aca="false">IF(AG15&lt;0,"SHORT",IF(AG15&lt;Assumptions!$C$91*Assumptions!$C$92,"LOW",""))</f>
        <v/>
      </c>
      <c r="AH16" s="7" t="str">
        <f aca="false">IF(AH15&lt;0,"SHORT",IF(AH15&lt;Assumptions!$C$91*Assumptions!$C$92,"LOW",""))</f>
        <v/>
      </c>
      <c r="AI16" s="7" t="str">
        <f aca="false">IF(AI15&lt;0,"SHORT",IF(AI15&lt;Assumptions!$C$91*Assumptions!$C$92,"LOW",""))</f>
        <v/>
      </c>
      <c r="AJ16" s="7" t="str">
        <f aca="false">IF(AJ15&lt;0,"SHORT",IF(AJ15&lt;Assumptions!$C$91*Assumptions!$C$92,"LOW",""))</f>
        <v/>
      </c>
      <c r="AK16" s="7" t="str">
        <f aca="false">IF(AK15&lt;0,"SHORT",IF(AK15&lt;Assumptions!$C$91*Assumptions!$C$92,"LOW",""))</f>
        <v/>
      </c>
      <c r="AL16" s="7" t="str">
        <f aca="false">IF(AL15&lt;0,"SHORT",IF(AL15&lt;Assumptions!$C$91*Assumptions!$C$92,"LOW",""))</f>
        <v/>
      </c>
    </row>
    <row r="18" customFormat="false" ht="15" hidden="false" customHeight="false" outlineLevel="0" collapsed="false">
      <c r="A18" s="7" t="s">
        <v>303</v>
      </c>
      <c r="B18" s="2"/>
      <c r="C18" s="48" t="n">
        <f aca="false">INDEX(Loan!$G$13:$G$372,C4)</f>
        <v>547391.075177345</v>
      </c>
      <c r="D18" s="48" t="n">
        <f aca="false">INDEX(Loan!$G$13:$G$372,D4)</f>
        <v>544759.322262492</v>
      </c>
      <c r="E18" s="48" t="n">
        <f aca="false">INDEX(Loan!$G$13:$G$372,E4)</f>
        <v>542104.541509633</v>
      </c>
      <c r="F18" s="48" t="n">
        <f aca="false">INDEX(Loan!$G$13:$G$372,F4)</f>
        <v>539426.531425188</v>
      </c>
      <c r="G18" s="48" t="n">
        <f aca="false">INDEX(Loan!$G$13:$G$372,G4)</f>
        <v>536725.088752503</v>
      </c>
      <c r="H18" s="48" t="n">
        <f aca="false">INDEX(Loan!$G$13:$G$372,H4)</f>
        <v>534000.008456432</v>
      </c>
      <c r="I18" s="48" t="n">
        <f aca="false">INDEX(Loan!$G$13:$G$372,I4)</f>
        <v>531251.083707771</v>
      </c>
      <c r="J18" s="48" t="n">
        <f aca="false">INDEX(Loan!$G$13:$G$372,J4)</f>
        <v>528478.105867559</v>
      </c>
      <c r="K18" s="48" t="n">
        <f aca="false">INDEX(Loan!$G$13:$G$372,K4)</f>
        <v>525680.864471245</v>
      </c>
      <c r="L18" s="48" t="n">
        <f aca="false">INDEX(Loan!$G$13:$G$372,L4)</f>
        <v>522859.147212713</v>
      </c>
      <c r="M18" s="48" t="n">
        <f aca="false">INDEX(Loan!$G$13:$G$372,M4)</f>
        <v>520012.739928169</v>
      </c>
      <c r="N18" s="48" t="n">
        <f aca="false">INDEX(Loan!$G$13:$G$372,N4)</f>
        <v>517141.426579886</v>
      </c>
      <c r="O18" s="48" t="n">
        <f aca="false">INDEX(Loan!$G$13:$G$372,O4)</f>
        <v>514244.989239805</v>
      </c>
      <c r="P18" s="48" t="n">
        <f aca="false">INDEX(Loan!$G$13:$G$372,P4)</f>
        <v>511323.208072998</v>
      </c>
      <c r="Q18" s="48" t="n">
        <f aca="false">INDEX(Loan!$G$13:$G$372,Q4)</f>
        <v>508375.861320981</v>
      </c>
      <c r="R18" s="48" t="n">
        <f aca="false">INDEX(Loan!$G$13:$G$372,R4)</f>
        <v>505402.725284885</v>
      </c>
      <c r="S18" s="48" t="n">
        <f aca="false">INDEX(Loan!$G$13:$G$372,S4)</f>
        <v>502403.574308473</v>
      </c>
      <c r="T18" s="48" t="n">
        <f aca="false">INDEX(Loan!$G$13:$G$372,T4)</f>
        <v>499378.180761017</v>
      </c>
      <c r="U18" s="48" t="n">
        <f aca="false">INDEX(Loan!$G$13:$G$372,U4)</f>
        <v>496326.31502002</v>
      </c>
      <c r="V18" s="48" t="n">
        <f aca="false">INDEX(Loan!$G$13:$G$372,V4)</f>
        <v>493247.745453791</v>
      </c>
      <c r="W18" s="48" t="n">
        <f aca="false">INDEX(Loan!$G$13:$G$372,W4)</f>
        <v>490142.238403856</v>
      </c>
      <c r="X18" s="48" t="n">
        <f aca="false">INDEX(Loan!$G$13:$G$372,X4)</f>
        <v>487009.558167235</v>
      </c>
      <c r="Y18" s="48" t="n">
        <f aca="false">INDEX(Loan!$G$13:$G$372,Y4)</f>
        <v>483849.466978543</v>
      </c>
      <c r="Z18" s="48" t="n">
        <f aca="false">INDEX(Loan!$G$13:$G$372,Z4)</f>
        <v>480661.72499195</v>
      </c>
      <c r="AA18" s="48" t="n">
        <f aca="false">INDEX(Loan!$G$13:$G$372,AA4)</f>
        <v>477446.090262975</v>
      </c>
      <c r="AB18" s="48" t="n">
        <f aca="false">INDEX(Loan!$G$13:$G$372,AB4)</f>
        <v>474202.318730121</v>
      </c>
      <c r="AC18" s="48" t="n">
        <f aca="false">INDEX(Loan!$G$13:$G$372,AC4)</f>
        <v>470930.164196354</v>
      </c>
      <c r="AD18" s="48" t="n">
        <f aca="false">INDEX(Loan!$G$13:$G$372,AD4)</f>
        <v>467629.378310417</v>
      </c>
      <c r="AE18" s="48" t="n">
        <f aca="false">INDEX(Loan!$G$13:$G$372,AE4)</f>
        <v>464299.710547978</v>
      </c>
      <c r="AF18" s="48" t="n">
        <f aca="false">INDEX(Loan!$G$13:$G$372,AF4)</f>
        <v>460940.908192618</v>
      </c>
      <c r="AG18" s="48" t="n">
        <f aca="false">INDEX(Loan!$G$13:$G$372,AG4)</f>
        <v>457552.716316648</v>
      </c>
      <c r="AH18" s="48" t="n">
        <f aca="false">INDEX(Loan!$G$13:$G$372,AH4)</f>
        <v>454134.877761764</v>
      </c>
      <c r="AI18" s="48" t="n">
        <f aca="false">INDEX(Loan!$G$13:$G$372,AI4)</f>
        <v>450687.133119524</v>
      </c>
      <c r="AJ18" s="48" t="n">
        <f aca="false">INDEX(Loan!$G$13:$G$372,AJ4)</f>
        <v>447209.220711665</v>
      </c>
      <c r="AK18" s="48" t="n">
        <f aca="false">INDEX(Loan!$G$13:$G$372,AK4)</f>
        <v>443700.876570237</v>
      </c>
      <c r="AL18" s="48" t="n">
        <f aca="false">INDEX(Loan!$G$13:$G$372,AL4)</f>
        <v>440161.834417571</v>
      </c>
      <c r="AM18" s="44" t="n">
        <f aca="false">INDEX($C18:$AL18,AM$5*12)</f>
        <v>517141.426579886</v>
      </c>
      <c r="AN18" s="44" t="n">
        <f aca="false">INDEX($C18:$AL18,AN$5*12)</f>
        <v>480661.72499195</v>
      </c>
      <c r="AO18" s="44" t="n">
        <f aca="false">INDEX($C18:$AL18,AO$5*12)</f>
        <v>440161.834417571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4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17.35" hidden="false" customHeight="false" outlineLevel="0" collapsed="false">
      <c r="B1" s="1" t="s">
        <v>304</v>
      </c>
    </row>
    <row r="2" customFormat="false" ht="15" hidden="false" customHeight="false" outlineLevel="0" collapsed="false">
      <c r="B2" s="2" t="s">
        <v>305</v>
      </c>
    </row>
    <row r="4" customFormat="false" ht="15" hidden="false" customHeight="false" outlineLevel="0" collapsed="false">
      <c r="B4" s="5" t="s">
        <v>306</v>
      </c>
      <c r="C4" s="6"/>
      <c r="D4" s="6"/>
      <c r="E4" s="6"/>
    </row>
    <row r="5" customFormat="false" ht="15" hidden="false" customHeight="false" outlineLevel="0" collapsed="false">
      <c r="B5" s="7" t="s">
        <v>307</v>
      </c>
      <c r="C5" s="22" t="n">
        <f aca="false">Assumptions!$C$109</f>
        <v>0.285</v>
      </c>
      <c r="E5" s="2" t="s">
        <v>308</v>
      </c>
    </row>
    <row r="6" customFormat="false" ht="15" hidden="false" customHeight="false" outlineLevel="0" collapsed="false">
      <c r="B6" s="7" t="s">
        <v>195</v>
      </c>
      <c r="C6" s="22" t="n">
        <f aca="false">Assumptions!$C$110</f>
        <v>0.083</v>
      </c>
      <c r="E6" s="2" t="s">
        <v>309</v>
      </c>
    </row>
    <row r="7" customFormat="false" ht="15" hidden="false" customHeight="false" outlineLevel="0" collapsed="false">
      <c r="B7" s="3" t="s">
        <v>310</v>
      </c>
      <c r="C7" s="51" t="n">
        <f aca="false">1-$C$5-$C$6</f>
        <v>0.632</v>
      </c>
      <c r="E7" s="2"/>
    </row>
    <row r="9" customFormat="false" ht="15" hidden="false" customHeight="false" outlineLevel="0" collapsed="false">
      <c r="B9" s="5" t="s">
        <v>311</v>
      </c>
      <c r="C9" s="6"/>
      <c r="D9" s="6"/>
      <c r="E9" s="6"/>
    </row>
    <row r="10" customFormat="false" ht="15" hidden="false" customHeight="false" outlineLevel="0" collapsed="false">
      <c r="B10" s="7" t="s">
        <v>312</v>
      </c>
      <c r="C10" s="28" t="n">
        <f aca="false">(Assumptions!$C$55*Assumptions!$C$54+Assumptions!$C$57*Assumptions!$C$56)*Assumptions!$C$106*(1+Assumptions!$C$60+Assumptions!$C$61)</f>
        <v>34639.488</v>
      </c>
      <c r="E10" s="2" t="s">
        <v>313</v>
      </c>
    </row>
    <row r="11" customFormat="false" ht="15" hidden="false" customHeight="false" outlineLevel="0" collapsed="false">
      <c r="B11" s="7" t="s">
        <v>314</v>
      </c>
      <c r="C11" s="28" t="n">
        <f aca="false">Assumptions!$C$58/12*(1+Assumptions!$C$60+Assumptions!$C$61)</f>
        <v>12046.875</v>
      </c>
      <c r="E11" s="2"/>
    </row>
    <row r="12" customFormat="false" ht="15" hidden="false" customHeight="false" outlineLevel="0" collapsed="false">
      <c r="B12" s="7" t="s">
        <v>278</v>
      </c>
      <c r="C12" s="28" t="n">
        <f aca="false">Assumptions!$C$64+Assumptions!$C$65</f>
        <v>9000</v>
      </c>
      <c r="E12" s="2"/>
    </row>
    <row r="13" customFormat="false" ht="15" hidden="false" customHeight="false" outlineLevel="0" collapsed="false">
      <c r="B13" s="7" t="s">
        <v>315</v>
      </c>
      <c r="C13" s="28" t="n">
        <f aca="false">Assumptions!$C$67+Assumptions!$C$72+Assumptions!$C$73+Assumptions!$C$74+Assumptions!$C$75+Assumptions!$C$76</f>
        <v>7050</v>
      </c>
      <c r="E13" s="2"/>
    </row>
    <row r="14" customFormat="false" ht="15" hidden="false" customHeight="false" outlineLevel="0" collapsed="false">
      <c r="B14" s="3" t="s">
        <v>316</v>
      </c>
      <c r="C14" s="52" t="n">
        <f aca="false">SUM($C$10:$C$13)</f>
        <v>62736.363</v>
      </c>
      <c r="E14" s="2"/>
    </row>
    <row r="15" customFormat="false" ht="15" hidden="false" customHeight="false" outlineLevel="0" collapsed="false">
      <c r="B15" s="7" t="s">
        <v>280</v>
      </c>
      <c r="C15" s="28" t="n">
        <f aca="false">Assumptions!$C$112</f>
        <v>6267.85714285714</v>
      </c>
      <c r="E15" s="2"/>
    </row>
    <row r="16" customFormat="false" ht="15" hidden="false" customHeight="false" outlineLevel="0" collapsed="false">
      <c r="B16" s="7" t="s">
        <v>317</v>
      </c>
      <c r="C16" s="28" t="n">
        <f aca="false">SUM(Loan!$E$13:$E$24)/12</f>
        <v>4683.21037097889</v>
      </c>
      <c r="E16" s="2"/>
    </row>
    <row r="17" customFormat="false" ht="15" hidden="false" customHeight="false" outlineLevel="0" collapsed="false">
      <c r="B17" s="7" t="s">
        <v>318</v>
      </c>
      <c r="C17" s="28" t="n">
        <f aca="false">Loan!$D$7</f>
        <v>7421.42482265508</v>
      </c>
      <c r="E17" s="2"/>
    </row>
    <row r="18" customFormat="false" ht="15" hidden="false" customHeight="false" outlineLevel="0" collapsed="false">
      <c r="B18" s="7" t="s">
        <v>319</v>
      </c>
      <c r="C18" s="28" t="n">
        <f aca="false">Assumptions!$C$102</f>
        <v>0</v>
      </c>
      <c r="E18" s="2"/>
    </row>
    <row r="20" customFormat="false" ht="15" hidden="false" customHeight="false" outlineLevel="0" collapsed="false">
      <c r="B20" s="5" t="s">
        <v>320</v>
      </c>
      <c r="C20" s="6"/>
      <c r="D20" s="6"/>
      <c r="E20" s="6"/>
    </row>
    <row r="21" customFormat="false" ht="15" hidden="false" customHeight="false" outlineLevel="0" collapsed="false">
      <c r="C21" s="3" t="s">
        <v>321</v>
      </c>
      <c r="D21" s="3" t="s">
        <v>322</v>
      </c>
      <c r="E21" s="2" t="s">
        <v>323</v>
      </c>
    </row>
    <row r="22" customFormat="false" ht="15" hidden="false" customHeight="false" outlineLevel="0" collapsed="false">
      <c r="B22" s="3" t="s">
        <v>324</v>
      </c>
      <c r="C22" s="52" t="n">
        <f aca="false">IF($C$7&lt;=0,0,($C$14+$C$15+$C$16)/$C$7)</f>
        <v>116594.035623158</v>
      </c>
      <c r="D22" s="52" t="n">
        <f aca="false">IF($C$7&lt;=0,0,($C$14+$C$17+$C$18)/$C$7)</f>
        <v>111009.157947239</v>
      </c>
    </row>
    <row r="23" customFormat="false" ht="15" hidden="false" customHeight="false" outlineLevel="0" collapsed="false">
      <c r="B23" s="7" t="s">
        <v>325</v>
      </c>
      <c r="C23" s="28" t="n">
        <f aca="false">C22*12</f>
        <v>1399128.4274779</v>
      </c>
      <c r="D23" s="28" t="n">
        <f aca="false">D22*12</f>
        <v>1332109.89536687</v>
      </c>
    </row>
    <row r="24" customFormat="false" ht="15" hidden="false" customHeight="false" outlineLevel="0" collapsed="false">
      <c r="B24" s="3" t="s">
        <v>326</v>
      </c>
      <c r="C24" s="52" t="n">
        <f aca="false">IF(Assumptions!$C$106=0,0,C22/Assumptions!$C$106)</f>
        <v>4484.38598550609</v>
      </c>
      <c r="D24" s="52" t="n">
        <f aca="false">IF(Assumptions!$C$106=0,0,D22/Assumptions!$C$106)</f>
        <v>4269.58299797073</v>
      </c>
    </row>
    <row r="25" customFormat="false" ht="15" hidden="false" customHeight="false" outlineLevel="0" collapsed="false">
      <c r="B25" s="7" t="s">
        <v>327</v>
      </c>
      <c r="C25" s="27" t="n">
        <f aca="false">Assumptions!$C$108*(1+Assumptions!$C$18)</f>
        <v>30.1107692307692</v>
      </c>
      <c r="D25" s="27" t="n">
        <f aca="false">Assumptions!$C$108*(1+Assumptions!$C$18)</f>
        <v>30.1107692307692</v>
      </c>
    </row>
    <row r="26" customFormat="false" ht="15" hidden="false" customHeight="false" outlineLevel="0" collapsed="false">
      <c r="B26" s="3" t="s">
        <v>328</v>
      </c>
      <c r="C26" s="53" t="n">
        <f aca="false">IF(C25=0,0,C24/C25)</f>
        <v>148.929638799252</v>
      </c>
      <c r="D26" s="53" t="n">
        <f aca="false">IF(D25=0,0,D24/D25)</f>
        <v>141.795879249999</v>
      </c>
    </row>
    <row r="27" customFormat="false" ht="15" hidden="false" customHeight="false" outlineLevel="0" collapsed="false">
      <c r="B27" s="7" t="s">
        <v>329</v>
      </c>
      <c r="C27" s="26" t="n">
        <f aca="false">IF(Assumptions!$C$8=0,0,C26/Assumptions!$C$8)</f>
        <v>2.4821606466542</v>
      </c>
      <c r="D27" s="26" t="n">
        <f aca="false">IF(Assumptions!$C$8=0,0,D26/Assumptions!$C$8)</f>
        <v>2.36326465416665</v>
      </c>
    </row>
    <row r="29" customFormat="false" ht="15" hidden="false" customHeight="false" outlineLevel="0" collapsed="false">
      <c r="B29" s="5" t="s">
        <v>330</v>
      </c>
      <c r="C29" s="6"/>
      <c r="D29" s="6"/>
      <c r="E29" s="6"/>
    </row>
    <row r="30" customFormat="false" ht="15" hidden="false" customHeight="false" outlineLevel="0" collapsed="false">
      <c r="B30" s="7" t="s">
        <v>331</v>
      </c>
      <c r="C30" s="25" t="n">
        <f aca="false">Assumptions!$C$8*Assumptions!$C$107</f>
        <v>156</v>
      </c>
      <c r="D30" s="25" t="n">
        <f aca="false">Assumptions!$C$8*Assumptions!$C$107</f>
        <v>156</v>
      </c>
    </row>
    <row r="31" customFormat="false" ht="15" hidden="false" customHeight="false" outlineLevel="0" collapsed="false">
      <c r="B31" s="7" t="s">
        <v>332</v>
      </c>
      <c r="C31" s="28" t="n">
        <f aca="false">C30*C25</f>
        <v>4697.28</v>
      </c>
      <c r="D31" s="28" t="n">
        <f aca="false">D30*D25</f>
        <v>4697.28</v>
      </c>
    </row>
    <row r="32" customFormat="false" ht="15" hidden="false" customHeight="false" outlineLevel="0" collapsed="false">
      <c r="B32" s="3" t="s">
        <v>333</v>
      </c>
      <c r="C32" s="51" t="n">
        <f aca="false">IF(C31=0,0,1-C24/C31)</f>
        <v>0.0453228282099243</v>
      </c>
      <c r="D32" s="51" t="n">
        <f aca="false">IF(D31=0,0,1-D24/D31)</f>
        <v>0.0910520560897515</v>
      </c>
    </row>
    <row r="33" customFormat="false" ht="15" hidden="false" customHeight="false" outlineLevel="0" collapsed="false">
      <c r="B33" s="2" t="s">
        <v>334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0"/>
    <col collapsed="false" customWidth="true" hidden="false" outlineLevel="0" max="3" min="3" style="0" width="16"/>
    <col collapsed="false" customWidth="true" hidden="false" outlineLevel="0" max="4" min="4" style="0" width="12"/>
  </cols>
  <sheetData>
    <row r="1" customFormat="false" ht="17.35" hidden="false" customHeight="false" outlineLevel="0" collapsed="false">
      <c r="B1" s="1" t="s">
        <v>335</v>
      </c>
    </row>
    <row r="2" customFormat="false" ht="15" hidden="false" customHeight="false" outlineLevel="0" collapsed="false">
      <c r="B2" s="2" t="s">
        <v>336</v>
      </c>
    </row>
    <row r="4" customFormat="false" ht="15" hidden="false" customHeight="false" outlineLevel="0" collapsed="false">
      <c r="B4" s="5" t="s">
        <v>337</v>
      </c>
      <c r="C4" s="5" t="s">
        <v>338</v>
      </c>
      <c r="D4" s="5" t="s">
        <v>339</v>
      </c>
    </row>
    <row r="5" customFormat="false" ht="15" hidden="false" customHeight="false" outlineLevel="0" collapsed="false">
      <c r="B5" s="7" t="s">
        <v>153</v>
      </c>
      <c r="C5" s="48" t="n">
        <f aca="false">Assumptions!$C$80</f>
        <v>350000</v>
      </c>
      <c r="D5" s="22" t="n">
        <f aca="false">IF($C$17=0,0,C5/$C$17)</f>
        <v>0.414201183431953</v>
      </c>
    </row>
    <row r="6" customFormat="false" ht="15" hidden="false" customHeight="false" outlineLevel="0" collapsed="false">
      <c r="B6" s="7" t="s">
        <v>155</v>
      </c>
      <c r="C6" s="48" t="n">
        <f aca="false">Assumptions!$C$81</f>
        <v>175000</v>
      </c>
      <c r="D6" s="22" t="n">
        <f aca="false">IF($C$17=0,0,C6/$C$17)</f>
        <v>0.207100591715976</v>
      </c>
    </row>
    <row r="7" customFormat="false" ht="15" hidden="false" customHeight="false" outlineLevel="0" collapsed="false">
      <c r="B7" s="7" t="s">
        <v>156</v>
      </c>
      <c r="C7" s="48" t="n">
        <f aca="false">Assumptions!$C$82</f>
        <v>60000</v>
      </c>
      <c r="D7" s="22" t="n">
        <f aca="false">IF($C$17=0,0,C7/$C$17)</f>
        <v>0.0710059171597633</v>
      </c>
    </row>
    <row r="8" customFormat="false" ht="15" hidden="false" customHeight="false" outlineLevel="0" collapsed="false">
      <c r="B8" s="7" t="s">
        <v>157</v>
      </c>
      <c r="C8" s="48" t="n">
        <f aca="false">Assumptions!$C$83</f>
        <v>15000</v>
      </c>
      <c r="D8" s="22" t="n">
        <f aca="false">IF($C$17=0,0,C8/$C$17)</f>
        <v>0.0177514792899408</v>
      </c>
    </row>
    <row r="9" customFormat="false" ht="15" hidden="false" customHeight="false" outlineLevel="0" collapsed="false">
      <c r="B9" s="7" t="s">
        <v>340</v>
      </c>
      <c r="C9" s="48" t="n">
        <f aca="false">Assumptions!$C$84</f>
        <v>15000</v>
      </c>
      <c r="D9" s="22" t="n">
        <f aca="false">IF($C$17=0,0,C9/$C$17)</f>
        <v>0.0177514792899408</v>
      </c>
    </row>
    <row r="10" customFormat="false" ht="15" hidden="false" customHeight="false" outlineLevel="0" collapsed="false">
      <c r="B10" s="7" t="s">
        <v>341</v>
      </c>
      <c r="C10" s="48" t="n">
        <f aca="false">Assumptions!$C$85</f>
        <v>25000</v>
      </c>
      <c r="D10" s="22" t="n">
        <f aca="false">IF($C$17=0,0,C10/$C$17)</f>
        <v>0.029585798816568</v>
      </c>
    </row>
    <row r="11" customFormat="false" ht="15" hidden="false" customHeight="false" outlineLevel="0" collapsed="false">
      <c r="B11" s="7" t="s">
        <v>269</v>
      </c>
      <c r="C11" s="48" t="n">
        <f aca="false">Assumptions!$C$86</f>
        <v>10000</v>
      </c>
      <c r="D11" s="22" t="n">
        <f aca="false">IF($C$17=0,0,C11/$C$17)</f>
        <v>0.0118343195266272</v>
      </c>
    </row>
    <row r="12" customFormat="false" ht="15" hidden="false" customHeight="false" outlineLevel="0" collapsed="false">
      <c r="B12" s="7" t="s">
        <v>161</v>
      </c>
      <c r="C12" s="48" t="n">
        <f aca="false">Assumptions!$C$87</f>
        <v>40000</v>
      </c>
      <c r="D12" s="22" t="n">
        <f aca="false">IF($C$17=0,0,C12/$C$17)</f>
        <v>0.0473372781065089</v>
      </c>
    </row>
    <row r="13" customFormat="false" ht="15" hidden="false" customHeight="false" outlineLevel="0" collapsed="false">
      <c r="B13" s="7" t="s">
        <v>162</v>
      </c>
      <c r="C13" s="48" t="n">
        <f aca="false">Assumptions!$C$88</f>
        <v>15000</v>
      </c>
      <c r="D13" s="22" t="n">
        <f aca="false">IF($C$17=0,0,C13/$C$17)</f>
        <v>0.0177514792899408</v>
      </c>
    </row>
    <row r="14" customFormat="false" ht="15" hidden="false" customHeight="false" outlineLevel="0" collapsed="false">
      <c r="B14" s="7" t="s">
        <v>342</v>
      </c>
      <c r="C14" s="48" t="n">
        <f aca="false">Assumptions!$C$89</f>
        <v>20000</v>
      </c>
      <c r="D14" s="22" t="n">
        <f aca="false">IF($C$17=0,0,C14/$C$17)</f>
        <v>0.0236686390532544</v>
      </c>
    </row>
    <row r="15" customFormat="false" ht="15" hidden="false" customHeight="false" outlineLevel="0" collapsed="false">
      <c r="B15" s="7" t="s">
        <v>343</v>
      </c>
      <c r="C15" s="48" t="n">
        <f aca="false">Assumptions!$C$90</f>
        <v>45000</v>
      </c>
      <c r="D15" s="22" t="n">
        <f aca="false">IF($C$17=0,0,C15/$C$17)</f>
        <v>0.0532544378698225</v>
      </c>
    </row>
    <row r="16" customFormat="false" ht="15" hidden="false" customHeight="false" outlineLevel="0" collapsed="false">
      <c r="B16" s="7" t="s">
        <v>344</v>
      </c>
      <c r="C16" s="48" t="n">
        <f aca="false">Assumptions!$C$91</f>
        <v>75000</v>
      </c>
      <c r="D16" s="22" t="n">
        <f aca="false">IF($C$17=0,0,C16/$C$17)</f>
        <v>0.0887573964497041</v>
      </c>
    </row>
    <row r="17" customFormat="false" ht="15" hidden="false" customHeight="false" outlineLevel="0" collapsed="false">
      <c r="B17" s="40" t="s">
        <v>345</v>
      </c>
      <c r="C17" s="54" t="n">
        <f aca="false">SUM(C5:C16)</f>
        <v>845000</v>
      </c>
      <c r="D17" s="55" t="n">
        <f aca="false">SUM(D5:D16)</f>
        <v>1</v>
      </c>
    </row>
    <row r="19" customFormat="false" ht="15" hidden="false" customHeight="false" outlineLevel="0" collapsed="false">
      <c r="B19" s="5" t="s">
        <v>346</v>
      </c>
      <c r="C19" s="5" t="s">
        <v>338</v>
      </c>
      <c r="D19" s="5" t="s">
        <v>339</v>
      </c>
    </row>
    <row r="20" customFormat="false" ht="15" hidden="false" customHeight="false" outlineLevel="0" collapsed="false">
      <c r="B20" s="7" t="s">
        <v>347</v>
      </c>
      <c r="C20" s="48" t="n">
        <f aca="false">Assumptions!$C$97</f>
        <v>550000</v>
      </c>
      <c r="D20" s="22" t="n">
        <f aca="false">IF($C$23=0,0,C20/$C$23)</f>
        <v>0.650887573964497</v>
      </c>
    </row>
    <row r="21" customFormat="false" ht="15" hidden="false" customHeight="false" outlineLevel="0" collapsed="false">
      <c r="B21" s="7" t="s">
        <v>348</v>
      </c>
      <c r="C21" s="48" t="n">
        <f aca="false">Assumptions!$C$100</f>
        <v>250000</v>
      </c>
      <c r="D21" s="22" t="n">
        <f aca="false">IF($C$23=0,0,C21/$C$23)</f>
        <v>0.295857988165681</v>
      </c>
    </row>
    <row r="22" customFormat="false" ht="15" hidden="false" customHeight="false" outlineLevel="0" collapsed="false">
      <c r="B22" s="7" t="s">
        <v>181</v>
      </c>
      <c r="C22" s="48" t="n">
        <f aca="false">Assumptions!$C$101</f>
        <v>45000</v>
      </c>
      <c r="D22" s="22" t="n">
        <f aca="false">IF($C$23=0,0,C22/$C$23)</f>
        <v>0.0532544378698225</v>
      </c>
    </row>
    <row r="23" customFormat="false" ht="15" hidden="false" customHeight="false" outlineLevel="0" collapsed="false">
      <c r="B23" s="40" t="s">
        <v>349</v>
      </c>
      <c r="C23" s="54" t="n">
        <f aca="false">SUM(C20:C22)</f>
        <v>845000</v>
      </c>
      <c r="D23" s="55" t="n">
        <f aca="false">SUM(D20:D22)</f>
        <v>1</v>
      </c>
    </row>
    <row r="25" customFormat="false" ht="15" hidden="false" customHeight="false" outlineLevel="0" collapsed="false">
      <c r="B25" s="3" t="s">
        <v>350</v>
      </c>
      <c r="C25" s="52" t="n">
        <f aca="false">C23-C17</f>
        <v>0</v>
      </c>
      <c r="D25" s="3" t="str">
        <f aca="false">IF(C25&lt;0,"FUNDING GAP — raise more or cut costs",IF(C25=0,"Balanced","Surplus adds to opening cash"))</f>
        <v>Balanced</v>
      </c>
    </row>
    <row r="26" customFormat="false" ht="15" hidden="false" customHeight="false" outlineLevel="0" collapsed="false">
      <c r="B26" s="3" t="s">
        <v>351</v>
      </c>
      <c r="C26" s="52" t="n">
        <f aca="false">Assumptions!$C$91+C25</f>
        <v>75000</v>
      </c>
    </row>
    <row r="28" customFormat="false" ht="15" hidden="false" customHeight="false" outlineLevel="0" collapsed="false">
      <c r="B28" s="5" t="s">
        <v>352</v>
      </c>
      <c r="C28" s="6"/>
      <c r="D28" s="6"/>
    </row>
    <row r="29" customFormat="false" ht="15" hidden="false" customHeight="false" outlineLevel="0" collapsed="false">
      <c r="B29" s="7" t="s">
        <v>353</v>
      </c>
      <c r="C29" s="22" t="n">
        <f aca="false">IF(C17=0,0,(Assumptions!$C$100+Assumptions!$C$101)/C17)</f>
        <v>0.349112426035503</v>
      </c>
    </row>
    <row r="30" customFormat="false" ht="15" hidden="false" customHeight="false" outlineLevel="0" collapsed="false">
      <c r="B30" s="7" t="s">
        <v>354</v>
      </c>
      <c r="C30" s="22" t="n">
        <f aca="false">IF(C17=0,0,Assumptions!$C$97/C17)</f>
        <v>0.650887573964497</v>
      </c>
    </row>
    <row r="31" customFormat="false" ht="15" hidden="false" customHeight="false" outlineLevel="0" collapsed="false">
      <c r="B31" s="2" t="s">
        <v>355</v>
      </c>
    </row>
    <row r="33" customFormat="false" ht="15" hidden="false" customHeight="false" outlineLevel="0" collapsed="false">
      <c r="B33" s="3" t="s">
        <v>356</v>
      </c>
    </row>
    <row r="34" customFormat="false" ht="15" hidden="false" customHeight="false" outlineLevel="0" collapsed="false">
      <c r="B34" s="7" t="s">
        <v>357</v>
      </c>
    </row>
    <row r="35" customFormat="false" ht="15" hidden="false" customHeight="false" outlineLevel="0" collapsed="false">
      <c r="B35" s="7" t="s">
        <v>358</v>
      </c>
    </row>
    <row r="36" customFormat="false" ht="15" hidden="false" customHeight="false" outlineLevel="0" collapsed="false">
      <c r="B36" s="7" t="s">
        <v>359</v>
      </c>
    </row>
    <row r="37" customFormat="false" ht="15" hidden="false" customHeight="false" outlineLevel="0" collapsed="false">
      <c r="B37" s="7" t="s">
        <v>360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3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6" min="5" style="0" width="14"/>
    <col collapsed="false" customWidth="true" hidden="false" outlineLevel="0" max="7" min="7" style="0" width="18"/>
  </cols>
  <sheetData>
    <row r="1" customFormat="false" ht="17.35" hidden="false" customHeight="false" outlineLevel="0" collapsed="false">
      <c r="B1" s="1" t="s">
        <v>361</v>
      </c>
    </row>
    <row r="2" customFormat="false" ht="15" hidden="false" customHeight="false" outlineLevel="0" collapsed="false">
      <c r="B2" s="2" t="s">
        <v>362</v>
      </c>
    </row>
    <row r="4" customFormat="false" ht="15" hidden="false" customHeight="false" outlineLevel="0" collapsed="false">
      <c r="B4" s="3" t="s">
        <v>363</v>
      </c>
      <c r="D4" s="48" t="n">
        <f aca="false">Assumptions!$C$97</f>
        <v>550000</v>
      </c>
      <c r="F4" s="3" t="s">
        <v>364</v>
      </c>
      <c r="G4" s="28" t="n">
        <f aca="false">SUM(D13:D24)</f>
        <v>89057.097871861</v>
      </c>
    </row>
    <row r="5" customFormat="false" ht="15" hidden="false" customHeight="false" outlineLevel="0" collapsed="false">
      <c r="B5" s="3" t="s">
        <v>365</v>
      </c>
      <c r="D5" s="56" t="n">
        <f aca="false">Assumptions!$C$98</f>
        <v>0.105</v>
      </c>
      <c r="F5" s="3" t="s">
        <v>366</v>
      </c>
      <c r="G5" s="28" t="n">
        <f aca="false">SUM(D25:D36)</f>
        <v>89057.097871861</v>
      </c>
    </row>
    <row r="6" customFormat="false" ht="15" hidden="false" customHeight="false" outlineLevel="0" collapsed="false">
      <c r="B6" s="3" t="s">
        <v>367</v>
      </c>
      <c r="D6" s="38" t="n">
        <f aca="false">Assumptions!$C$99*12</f>
        <v>120</v>
      </c>
      <c r="F6" s="3" t="s">
        <v>368</v>
      </c>
      <c r="G6" s="28" t="n">
        <f aca="false">SUM(D37:D48)</f>
        <v>89057.097871861</v>
      </c>
    </row>
    <row r="7" customFormat="false" ht="15" hidden="false" customHeight="false" outlineLevel="0" collapsed="false">
      <c r="B7" s="3" t="s">
        <v>369</v>
      </c>
      <c r="D7" s="27" t="n">
        <f aca="false">IF(OR(D4&lt;=0,D6&lt;=0),0,IF(D5=0,D4/D6,PMT(D5/12,D6,-D4)))</f>
        <v>7421.42482265508</v>
      </c>
      <c r="F7" s="3" t="s">
        <v>370</v>
      </c>
      <c r="G7" s="28" t="n">
        <f aca="false">G48</f>
        <v>440161.834417571</v>
      </c>
    </row>
    <row r="8" customFormat="false" ht="15" hidden="false" customHeight="false" outlineLevel="0" collapsed="false">
      <c r="B8" s="3" t="s">
        <v>371</v>
      </c>
      <c r="D8" s="28" t="n">
        <f aca="false">SUM(E13:E372)</f>
        <v>340570.97871861</v>
      </c>
    </row>
    <row r="10" customFormat="false" ht="15" hidden="false" customHeight="false" outlineLevel="0" collapsed="false">
      <c r="B10" s="2" t="s">
        <v>372</v>
      </c>
    </row>
    <row r="12" customFormat="false" ht="15" hidden="false" customHeight="false" outlineLevel="0" collapsed="false">
      <c r="B12" s="57" t="s">
        <v>202</v>
      </c>
      <c r="C12" s="57" t="s">
        <v>373</v>
      </c>
      <c r="D12" s="57" t="s">
        <v>374</v>
      </c>
      <c r="E12" s="57" t="s">
        <v>375</v>
      </c>
      <c r="F12" s="57" t="s">
        <v>376</v>
      </c>
      <c r="G12" s="57" t="s">
        <v>377</v>
      </c>
    </row>
    <row r="13" customFormat="false" ht="15" hidden="false" customHeight="false" outlineLevel="0" collapsed="false">
      <c r="B13" s="38" t="n">
        <v>1</v>
      </c>
      <c r="C13" s="27" t="n">
        <f aca="false">$D$4</f>
        <v>550000</v>
      </c>
      <c r="D13" s="27" t="n">
        <f aca="false">E13+F13</f>
        <v>7421.42482265508</v>
      </c>
      <c r="E13" s="27" t="n">
        <f aca="false">IF(B13&lt;=$D$6,C13*$D$5/12,0)</f>
        <v>4812.5</v>
      </c>
      <c r="F13" s="27" t="n">
        <f aca="false">IF(B13&lt;=$D$6,MIN($D$7-E13,C13),0)</f>
        <v>2608.92482265508</v>
      </c>
      <c r="G13" s="27" t="n">
        <f aca="false">C13-F13</f>
        <v>547391.075177345</v>
      </c>
    </row>
    <row r="14" customFormat="false" ht="15" hidden="false" customHeight="false" outlineLevel="0" collapsed="false">
      <c r="B14" s="38" t="n">
        <v>2</v>
      </c>
      <c r="C14" s="27" t="n">
        <f aca="false">G13</f>
        <v>547391.075177345</v>
      </c>
      <c r="D14" s="27" t="n">
        <f aca="false">E14+F14</f>
        <v>7421.42482265508</v>
      </c>
      <c r="E14" s="27" t="n">
        <f aca="false">IF(B14&lt;=$D$6,C14*$D$5/12,0)</f>
        <v>4789.67190780177</v>
      </c>
      <c r="F14" s="27" t="n">
        <f aca="false">IF(B14&lt;=$D$6,MIN($D$7-E14,C14),0)</f>
        <v>2631.75291485332</v>
      </c>
      <c r="G14" s="27" t="n">
        <f aca="false">C14-F14</f>
        <v>544759.322262492</v>
      </c>
    </row>
    <row r="15" customFormat="false" ht="15" hidden="false" customHeight="false" outlineLevel="0" collapsed="false">
      <c r="B15" s="38" t="n">
        <v>3</v>
      </c>
      <c r="C15" s="27" t="n">
        <f aca="false">G14</f>
        <v>544759.322262492</v>
      </c>
      <c r="D15" s="27" t="n">
        <f aca="false">E15+F15</f>
        <v>7421.42482265508</v>
      </c>
      <c r="E15" s="27" t="n">
        <f aca="false">IF(B15&lt;=$D$6,C15*$D$5/12,0)</f>
        <v>4766.6440697968</v>
      </c>
      <c r="F15" s="27" t="n">
        <f aca="false">IF(B15&lt;=$D$6,MIN($D$7-E15,C15),0)</f>
        <v>2654.78075285828</v>
      </c>
      <c r="G15" s="27" t="n">
        <f aca="false">C15-F15</f>
        <v>542104.541509633</v>
      </c>
    </row>
    <row r="16" customFormat="false" ht="15" hidden="false" customHeight="false" outlineLevel="0" collapsed="false">
      <c r="B16" s="38" t="n">
        <v>4</v>
      </c>
      <c r="C16" s="27" t="n">
        <f aca="false">G15</f>
        <v>542104.541509633</v>
      </c>
      <c r="D16" s="27" t="n">
        <f aca="false">E16+F16</f>
        <v>7421.42482265508</v>
      </c>
      <c r="E16" s="27" t="n">
        <f aca="false">IF(B16&lt;=$D$6,C16*$D$5/12,0)</f>
        <v>4743.41473820929</v>
      </c>
      <c r="F16" s="27" t="n">
        <f aca="false">IF(B16&lt;=$D$6,MIN($D$7-E16,C16),0)</f>
        <v>2678.01008444579</v>
      </c>
      <c r="G16" s="27" t="n">
        <f aca="false">C16-F16</f>
        <v>539426.531425188</v>
      </c>
    </row>
    <row r="17" customFormat="false" ht="15" hidden="false" customHeight="false" outlineLevel="0" collapsed="false">
      <c r="B17" s="38" t="n">
        <v>5</v>
      </c>
      <c r="C17" s="27" t="n">
        <f aca="false">G16</f>
        <v>539426.531425188</v>
      </c>
      <c r="D17" s="27" t="n">
        <f aca="false">E17+F17</f>
        <v>7421.42482265508</v>
      </c>
      <c r="E17" s="27" t="n">
        <f aca="false">IF(B17&lt;=$D$6,C17*$D$5/12,0)</f>
        <v>4719.98214997039</v>
      </c>
      <c r="F17" s="27" t="n">
        <f aca="false">IF(B17&lt;=$D$6,MIN($D$7-E17,C17),0)</f>
        <v>2701.44267268469</v>
      </c>
      <c r="G17" s="27" t="n">
        <f aca="false">C17-F17</f>
        <v>536725.088752503</v>
      </c>
    </row>
    <row r="18" customFormat="false" ht="15" hidden="false" customHeight="false" outlineLevel="0" collapsed="false">
      <c r="B18" s="38" t="n">
        <v>6</v>
      </c>
      <c r="C18" s="27" t="n">
        <f aca="false">G17</f>
        <v>536725.088752503</v>
      </c>
      <c r="D18" s="27" t="n">
        <f aca="false">E18+F18</f>
        <v>7421.42482265508</v>
      </c>
      <c r="E18" s="27" t="n">
        <f aca="false">IF(B18&lt;=$D$6,C18*$D$5/12,0)</f>
        <v>4696.3445265844</v>
      </c>
      <c r="F18" s="27" t="n">
        <f aca="false">IF(B18&lt;=$D$6,MIN($D$7-E18,C18),0)</f>
        <v>2725.08029607068</v>
      </c>
      <c r="G18" s="27" t="n">
        <f aca="false">C18-F18</f>
        <v>534000.008456432</v>
      </c>
    </row>
    <row r="19" customFormat="false" ht="15" hidden="false" customHeight="false" outlineLevel="0" collapsed="false">
      <c r="B19" s="38" t="n">
        <v>7</v>
      </c>
      <c r="C19" s="27" t="n">
        <f aca="false">G18</f>
        <v>534000.008456432</v>
      </c>
      <c r="D19" s="27" t="n">
        <f aca="false">E19+F19</f>
        <v>7421.42482265508</v>
      </c>
      <c r="E19" s="27" t="n">
        <f aca="false">IF(B19&lt;=$D$6,C19*$D$5/12,0)</f>
        <v>4672.50007399378</v>
      </c>
      <c r="F19" s="27" t="n">
        <f aca="false">IF(B19&lt;=$D$6,MIN($D$7-E19,C19),0)</f>
        <v>2748.9247486613</v>
      </c>
      <c r="G19" s="27" t="n">
        <f aca="false">C19-F19</f>
        <v>531251.083707771</v>
      </c>
    </row>
    <row r="20" customFormat="false" ht="15" hidden="false" customHeight="false" outlineLevel="0" collapsed="false">
      <c r="B20" s="38" t="n">
        <v>8</v>
      </c>
      <c r="C20" s="27" t="n">
        <f aca="false">G19</f>
        <v>531251.083707771</v>
      </c>
      <c r="D20" s="27" t="n">
        <f aca="false">E20+F20</f>
        <v>7421.42482265508</v>
      </c>
      <c r="E20" s="27" t="n">
        <f aca="false">IF(B20&lt;=$D$6,C20*$D$5/12,0)</f>
        <v>4648.446982443</v>
      </c>
      <c r="F20" s="27" t="n">
        <f aca="false">IF(B20&lt;=$D$6,MIN($D$7-E20,C20),0)</f>
        <v>2772.97784021209</v>
      </c>
      <c r="G20" s="27" t="n">
        <f aca="false">C20-F20</f>
        <v>528478.105867559</v>
      </c>
    </row>
    <row r="21" customFormat="false" ht="15" hidden="false" customHeight="false" outlineLevel="0" collapsed="false">
      <c r="B21" s="38" t="n">
        <v>9</v>
      </c>
      <c r="C21" s="27" t="n">
        <f aca="false">G20</f>
        <v>528478.105867559</v>
      </c>
      <c r="D21" s="27" t="n">
        <f aca="false">E21+F21</f>
        <v>7421.42482265508</v>
      </c>
      <c r="E21" s="27" t="n">
        <f aca="false">IF(B21&lt;=$D$6,C21*$D$5/12,0)</f>
        <v>4624.18342634114</v>
      </c>
      <c r="F21" s="27" t="n">
        <f aca="false">IF(B21&lt;=$D$6,MIN($D$7-E21,C21),0)</f>
        <v>2797.24139631395</v>
      </c>
      <c r="G21" s="27" t="n">
        <f aca="false">C21-F21</f>
        <v>525680.864471245</v>
      </c>
    </row>
    <row r="22" customFormat="false" ht="15" hidden="false" customHeight="false" outlineLevel="0" collapsed="false">
      <c r="B22" s="38" t="n">
        <v>10</v>
      </c>
      <c r="C22" s="27" t="n">
        <f aca="false">G21</f>
        <v>525680.864471245</v>
      </c>
      <c r="D22" s="27" t="n">
        <f aca="false">E22+F22</f>
        <v>7421.42482265508</v>
      </c>
      <c r="E22" s="27" t="n">
        <f aca="false">IF(B22&lt;=$D$6,C22*$D$5/12,0)</f>
        <v>4599.70756412339</v>
      </c>
      <c r="F22" s="27" t="n">
        <f aca="false">IF(B22&lt;=$D$6,MIN($D$7-E22,C22),0)</f>
        <v>2821.71725853169</v>
      </c>
      <c r="G22" s="27" t="n">
        <f aca="false">C22-F22</f>
        <v>522859.147212713</v>
      </c>
    </row>
    <row r="23" customFormat="false" ht="15" hidden="false" customHeight="false" outlineLevel="0" collapsed="false">
      <c r="B23" s="38" t="n">
        <v>11</v>
      </c>
      <c r="C23" s="27" t="n">
        <f aca="false">G22</f>
        <v>522859.147212713</v>
      </c>
      <c r="D23" s="27" t="n">
        <f aca="false">E23+F23</f>
        <v>7421.42482265508</v>
      </c>
      <c r="E23" s="27" t="n">
        <f aca="false">IF(B23&lt;=$D$6,C23*$D$5/12,0)</f>
        <v>4575.01753811124</v>
      </c>
      <c r="F23" s="27" t="n">
        <f aca="false">IF(B23&lt;=$D$6,MIN($D$7-E23,C23),0)</f>
        <v>2846.40728454385</v>
      </c>
      <c r="G23" s="27" t="n">
        <f aca="false">C23-F23</f>
        <v>520012.739928169</v>
      </c>
    </row>
    <row r="24" customFormat="false" ht="15" hidden="false" customHeight="false" outlineLevel="0" collapsed="false">
      <c r="B24" s="38" t="n">
        <v>12</v>
      </c>
      <c r="C24" s="27" t="n">
        <f aca="false">G23</f>
        <v>520012.739928169</v>
      </c>
      <c r="D24" s="27" t="n">
        <f aca="false">E24+F24</f>
        <v>7421.42482265508</v>
      </c>
      <c r="E24" s="27" t="n">
        <f aca="false">IF(B24&lt;=$D$6,C24*$D$5/12,0)</f>
        <v>4550.11147437148</v>
      </c>
      <c r="F24" s="27" t="n">
        <f aca="false">IF(B24&lt;=$D$6,MIN($D$7-E24,C24),0)</f>
        <v>2871.3133482836</v>
      </c>
      <c r="G24" s="27" t="n">
        <f aca="false">C24-F24</f>
        <v>517141.426579886</v>
      </c>
    </row>
    <row r="25" customFormat="false" ht="15" hidden="false" customHeight="false" outlineLevel="0" collapsed="false">
      <c r="B25" s="38" t="n">
        <v>13</v>
      </c>
      <c r="C25" s="27" t="n">
        <f aca="false">G24</f>
        <v>517141.426579886</v>
      </c>
      <c r="D25" s="27" t="n">
        <f aca="false">E25+F25</f>
        <v>7421.42482265508</v>
      </c>
      <c r="E25" s="27" t="n">
        <f aca="false">IF(B25&lt;=$D$6,C25*$D$5/12,0)</f>
        <v>4524.987482574</v>
      </c>
      <c r="F25" s="27" t="n">
        <f aca="false">IF(B25&lt;=$D$6,MIN($D$7-E25,C25),0)</f>
        <v>2896.43734008108</v>
      </c>
      <c r="G25" s="27" t="n">
        <f aca="false">C25-F25</f>
        <v>514244.989239805</v>
      </c>
    </row>
    <row r="26" customFormat="false" ht="15" hidden="false" customHeight="false" outlineLevel="0" collapsed="false">
      <c r="B26" s="38" t="n">
        <v>14</v>
      </c>
      <c r="C26" s="27" t="n">
        <f aca="false">G25</f>
        <v>514244.989239805</v>
      </c>
      <c r="D26" s="27" t="n">
        <f aca="false">E26+F26</f>
        <v>7421.42482265508</v>
      </c>
      <c r="E26" s="27" t="n">
        <f aca="false">IF(B26&lt;=$D$6,C26*$D$5/12,0)</f>
        <v>4499.64365584829</v>
      </c>
      <c r="F26" s="27" t="n">
        <f aca="false">IF(B26&lt;=$D$6,MIN($D$7-E26,C26),0)</f>
        <v>2921.78116680679</v>
      </c>
      <c r="G26" s="27" t="n">
        <f aca="false">C26-F26</f>
        <v>511323.208072998</v>
      </c>
    </row>
    <row r="27" customFormat="false" ht="15" hidden="false" customHeight="false" outlineLevel="0" collapsed="false">
      <c r="B27" s="38" t="n">
        <v>15</v>
      </c>
      <c r="C27" s="27" t="n">
        <f aca="false">G26</f>
        <v>511323.208072998</v>
      </c>
      <c r="D27" s="27" t="n">
        <f aca="false">E27+F27</f>
        <v>7421.42482265508</v>
      </c>
      <c r="E27" s="27" t="n">
        <f aca="false">IF(B27&lt;=$D$6,C27*$D$5/12,0)</f>
        <v>4474.07807063873</v>
      </c>
      <c r="F27" s="27" t="n">
        <f aca="false">IF(B27&lt;=$D$6,MIN($D$7-E27,C27),0)</f>
        <v>2947.34675201635</v>
      </c>
      <c r="G27" s="27" t="n">
        <f aca="false">C27-F27</f>
        <v>508375.861320981</v>
      </c>
    </row>
    <row r="28" customFormat="false" ht="15" hidden="false" customHeight="false" outlineLevel="0" collapsed="false">
      <c r="B28" s="38" t="n">
        <v>16</v>
      </c>
      <c r="C28" s="27" t="n">
        <f aca="false">G27</f>
        <v>508375.861320981</v>
      </c>
      <c r="D28" s="27" t="n">
        <f aca="false">E28+F28</f>
        <v>7421.42482265508</v>
      </c>
      <c r="E28" s="27" t="n">
        <f aca="false">IF(B28&lt;=$D$6,C28*$D$5/12,0)</f>
        <v>4448.28878655859</v>
      </c>
      <c r="F28" s="27" t="n">
        <f aca="false">IF(B28&lt;=$D$6,MIN($D$7-E28,C28),0)</f>
        <v>2973.1360360965</v>
      </c>
      <c r="G28" s="27" t="n">
        <f aca="false">C28-F28</f>
        <v>505402.725284885</v>
      </c>
    </row>
    <row r="29" customFormat="false" ht="15" hidden="false" customHeight="false" outlineLevel="0" collapsed="false">
      <c r="B29" s="38" t="n">
        <v>17</v>
      </c>
      <c r="C29" s="27" t="n">
        <f aca="false">G28</f>
        <v>505402.725284885</v>
      </c>
      <c r="D29" s="27" t="n">
        <f aca="false">E29+F29</f>
        <v>7421.42482265508</v>
      </c>
      <c r="E29" s="27" t="n">
        <f aca="false">IF(B29&lt;=$D$6,C29*$D$5/12,0)</f>
        <v>4422.27384624274</v>
      </c>
      <c r="F29" s="27" t="n">
        <f aca="false">IF(B29&lt;=$D$6,MIN($D$7-E29,C29),0)</f>
        <v>2999.15097641234</v>
      </c>
      <c r="G29" s="27" t="n">
        <f aca="false">C29-F29</f>
        <v>502403.574308473</v>
      </c>
    </row>
    <row r="30" customFormat="false" ht="15" hidden="false" customHeight="false" outlineLevel="0" collapsed="false">
      <c r="B30" s="38" t="n">
        <v>18</v>
      </c>
      <c r="C30" s="27" t="n">
        <f aca="false">G29</f>
        <v>502403.574308473</v>
      </c>
      <c r="D30" s="27" t="n">
        <f aca="false">E30+F30</f>
        <v>7421.42482265508</v>
      </c>
      <c r="E30" s="27" t="n">
        <f aca="false">IF(B30&lt;=$D$6,C30*$D$5/12,0)</f>
        <v>4396.03127519914</v>
      </c>
      <c r="F30" s="27" t="n">
        <f aca="false">IF(B30&lt;=$D$6,MIN($D$7-E30,C30),0)</f>
        <v>3025.39354745595</v>
      </c>
      <c r="G30" s="27" t="n">
        <f aca="false">C30-F30</f>
        <v>499378.180761017</v>
      </c>
    </row>
    <row r="31" customFormat="false" ht="15" hidden="false" customHeight="false" outlineLevel="0" collapsed="false">
      <c r="B31" s="38" t="n">
        <v>19</v>
      </c>
      <c r="C31" s="27" t="n">
        <f aca="false">G30</f>
        <v>499378.180761017</v>
      </c>
      <c r="D31" s="27" t="n">
        <f aca="false">E31+F31</f>
        <v>7421.42482265508</v>
      </c>
      <c r="E31" s="27" t="n">
        <f aca="false">IF(B31&lt;=$D$6,C31*$D$5/12,0)</f>
        <v>4369.5590816589</v>
      </c>
      <c r="F31" s="27" t="n">
        <f aca="false">IF(B31&lt;=$D$6,MIN($D$7-E31,C31),0)</f>
        <v>3051.86574099619</v>
      </c>
      <c r="G31" s="27" t="n">
        <f aca="false">C31-F31</f>
        <v>496326.31502002</v>
      </c>
    </row>
    <row r="32" customFormat="false" ht="15" hidden="false" customHeight="false" outlineLevel="0" collapsed="false">
      <c r="B32" s="38" t="n">
        <v>20</v>
      </c>
      <c r="C32" s="27" t="n">
        <f aca="false">G31</f>
        <v>496326.31502002</v>
      </c>
      <c r="D32" s="27" t="n">
        <f aca="false">E32+F32</f>
        <v>7421.42482265508</v>
      </c>
      <c r="E32" s="27" t="n">
        <f aca="false">IF(B32&lt;=$D$6,C32*$D$5/12,0)</f>
        <v>4342.85525642518</v>
      </c>
      <c r="F32" s="27" t="n">
        <f aca="false">IF(B32&lt;=$D$6,MIN($D$7-E32,C32),0)</f>
        <v>3078.56956622991</v>
      </c>
      <c r="G32" s="27" t="n">
        <f aca="false">C32-F32</f>
        <v>493247.745453791</v>
      </c>
    </row>
    <row r="33" customFormat="false" ht="15" hidden="false" customHeight="false" outlineLevel="0" collapsed="false">
      <c r="B33" s="38" t="n">
        <v>21</v>
      </c>
      <c r="C33" s="27" t="n">
        <f aca="false">G32</f>
        <v>493247.745453791</v>
      </c>
      <c r="D33" s="27" t="n">
        <f aca="false">E33+F33</f>
        <v>7421.42482265508</v>
      </c>
      <c r="E33" s="27" t="n">
        <f aca="false">IF(B33&lt;=$D$6,C33*$D$5/12,0)</f>
        <v>4315.91777272067</v>
      </c>
      <c r="F33" s="27" t="n">
        <f aca="false">IF(B33&lt;=$D$6,MIN($D$7-E33,C33),0)</f>
        <v>3105.50704993442</v>
      </c>
      <c r="G33" s="27" t="n">
        <f aca="false">C33-F33</f>
        <v>490142.238403856</v>
      </c>
    </row>
    <row r="34" customFormat="false" ht="15" hidden="false" customHeight="false" outlineLevel="0" collapsed="false">
      <c r="B34" s="38" t="n">
        <v>22</v>
      </c>
      <c r="C34" s="27" t="n">
        <f aca="false">G33</f>
        <v>490142.238403856</v>
      </c>
      <c r="D34" s="27" t="n">
        <f aca="false">E34+F34</f>
        <v>7421.42482265508</v>
      </c>
      <c r="E34" s="27" t="n">
        <f aca="false">IF(B34&lt;=$D$6,C34*$D$5/12,0)</f>
        <v>4288.74458603374</v>
      </c>
      <c r="F34" s="27" t="n">
        <f aca="false">IF(B34&lt;=$D$6,MIN($D$7-E34,C34),0)</f>
        <v>3132.68023662134</v>
      </c>
      <c r="G34" s="27" t="n">
        <f aca="false">C34-F34</f>
        <v>487009.558167235</v>
      </c>
    </row>
    <row r="35" customFormat="false" ht="15" hidden="false" customHeight="false" outlineLevel="0" collapsed="false">
      <c r="B35" s="38" t="n">
        <v>23</v>
      </c>
      <c r="C35" s="27" t="n">
        <f aca="false">G34</f>
        <v>487009.558167235</v>
      </c>
      <c r="D35" s="27" t="n">
        <f aca="false">E35+F35</f>
        <v>7421.42482265508</v>
      </c>
      <c r="E35" s="27" t="n">
        <f aca="false">IF(B35&lt;=$D$6,C35*$D$5/12,0)</f>
        <v>4261.3336339633</v>
      </c>
      <c r="F35" s="27" t="n">
        <f aca="false">IF(B35&lt;=$D$6,MIN($D$7-E35,C35),0)</f>
        <v>3160.09118869178</v>
      </c>
      <c r="G35" s="27" t="n">
        <f aca="false">C35-F35</f>
        <v>483849.466978543</v>
      </c>
    </row>
    <row r="36" customFormat="false" ht="15" hidden="false" customHeight="false" outlineLevel="0" collapsed="false">
      <c r="B36" s="38" t="n">
        <v>24</v>
      </c>
      <c r="C36" s="27" t="n">
        <f aca="false">G35</f>
        <v>483849.466978543</v>
      </c>
      <c r="D36" s="27" t="n">
        <f aca="false">E36+F36</f>
        <v>7421.42482265508</v>
      </c>
      <c r="E36" s="27" t="n">
        <f aca="false">IF(B36&lt;=$D$6,C36*$D$5/12,0)</f>
        <v>4233.68283606225</v>
      </c>
      <c r="F36" s="27" t="n">
        <f aca="false">IF(B36&lt;=$D$6,MIN($D$7-E36,C36),0)</f>
        <v>3187.74198659283</v>
      </c>
      <c r="G36" s="27" t="n">
        <f aca="false">C36-F36</f>
        <v>480661.72499195</v>
      </c>
    </row>
    <row r="37" customFormat="false" ht="15" hidden="false" customHeight="false" outlineLevel="0" collapsed="false">
      <c r="B37" s="38" t="n">
        <v>25</v>
      </c>
      <c r="C37" s="27" t="n">
        <f aca="false">G36</f>
        <v>480661.72499195</v>
      </c>
      <c r="D37" s="27" t="n">
        <f aca="false">E37+F37</f>
        <v>7421.42482265508</v>
      </c>
      <c r="E37" s="27" t="n">
        <f aca="false">IF(B37&lt;=$D$6,C37*$D$5/12,0)</f>
        <v>4205.79009367956</v>
      </c>
      <c r="F37" s="27" t="n">
        <f aca="false">IF(B37&lt;=$D$6,MIN($D$7-E37,C37),0)</f>
        <v>3215.63472897552</v>
      </c>
      <c r="G37" s="27" t="n">
        <f aca="false">C37-F37</f>
        <v>477446.090262975</v>
      </c>
    </row>
    <row r="38" customFormat="false" ht="15" hidden="false" customHeight="false" outlineLevel="0" collapsed="false">
      <c r="B38" s="38" t="n">
        <v>26</v>
      </c>
      <c r="C38" s="27" t="n">
        <f aca="false">G37</f>
        <v>477446.090262975</v>
      </c>
      <c r="D38" s="27" t="n">
        <f aca="false">E38+F38</f>
        <v>7421.42482265508</v>
      </c>
      <c r="E38" s="27" t="n">
        <f aca="false">IF(B38&lt;=$D$6,C38*$D$5/12,0)</f>
        <v>4177.65328980103</v>
      </c>
      <c r="F38" s="27" t="n">
        <f aca="false">IF(B38&lt;=$D$6,MIN($D$7-E38,C38),0)</f>
        <v>3243.77153285406</v>
      </c>
      <c r="G38" s="27" t="n">
        <f aca="false">C38-F38</f>
        <v>474202.318730121</v>
      </c>
    </row>
    <row r="39" customFormat="false" ht="15" hidden="false" customHeight="false" outlineLevel="0" collapsed="false">
      <c r="B39" s="38" t="n">
        <v>27</v>
      </c>
      <c r="C39" s="27" t="n">
        <f aca="false">G38</f>
        <v>474202.318730121</v>
      </c>
      <c r="D39" s="27" t="n">
        <f aca="false">E39+F39</f>
        <v>7421.42482265508</v>
      </c>
      <c r="E39" s="27" t="n">
        <f aca="false">IF(B39&lt;=$D$6,C39*$D$5/12,0)</f>
        <v>4149.27028888856</v>
      </c>
      <c r="F39" s="27" t="n">
        <f aca="false">IF(B39&lt;=$D$6,MIN($D$7-E39,C39),0)</f>
        <v>3272.15453376653</v>
      </c>
      <c r="G39" s="27" t="n">
        <f aca="false">C39-F39</f>
        <v>470930.164196354</v>
      </c>
    </row>
    <row r="40" customFormat="false" ht="15" hidden="false" customHeight="false" outlineLevel="0" collapsed="false">
      <c r="B40" s="38" t="n">
        <v>28</v>
      </c>
      <c r="C40" s="27" t="n">
        <f aca="false">G39</f>
        <v>470930.164196354</v>
      </c>
      <c r="D40" s="27" t="n">
        <f aca="false">E40+F40</f>
        <v>7421.42482265508</v>
      </c>
      <c r="E40" s="27" t="n">
        <f aca="false">IF(B40&lt;=$D$6,C40*$D$5/12,0)</f>
        <v>4120.6389367181</v>
      </c>
      <c r="F40" s="27" t="n">
        <f aca="false">IF(B40&lt;=$D$6,MIN($D$7-E40,C40),0)</f>
        <v>3300.78588593699</v>
      </c>
      <c r="G40" s="27" t="n">
        <f aca="false">C40-F40</f>
        <v>467629.378310417</v>
      </c>
    </row>
    <row r="41" customFormat="false" ht="15" hidden="false" customHeight="false" outlineLevel="0" collapsed="false">
      <c r="B41" s="38" t="n">
        <v>29</v>
      </c>
      <c r="C41" s="27" t="n">
        <f aca="false">G40</f>
        <v>467629.378310417</v>
      </c>
      <c r="D41" s="27" t="n">
        <f aca="false">E41+F41</f>
        <v>7421.42482265508</v>
      </c>
      <c r="E41" s="27" t="n">
        <f aca="false">IF(B41&lt;=$D$6,C41*$D$5/12,0)</f>
        <v>4091.75706021615</v>
      </c>
      <c r="F41" s="27" t="n">
        <f aca="false">IF(B41&lt;=$D$6,MIN($D$7-E41,C41),0)</f>
        <v>3329.66776243893</v>
      </c>
      <c r="G41" s="27" t="n">
        <f aca="false">C41-F41</f>
        <v>464299.710547978</v>
      </c>
    </row>
    <row r="42" customFormat="false" ht="15" hidden="false" customHeight="false" outlineLevel="0" collapsed="false">
      <c r="B42" s="38" t="n">
        <v>30</v>
      </c>
      <c r="C42" s="27" t="n">
        <f aca="false">G41</f>
        <v>464299.710547978</v>
      </c>
      <c r="D42" s="27" t="n">
        <f aca="false">E42+F42</f>
        <v>7421.42482265508</v>
      </c>
      <c r="E42" s="27" t="n">
        <f aca="false">IF(B42&lt;=$D$6,C42*$D$5/12,0)</f>
        <v>4062.62246729481</v>
      </c>
      <c r="F42" s="27" t="n">
        <f aca="false">IF(B42&lt;=$D$6,MIN($D$7-E42,C42),0)</f>
        <v>3358.80235536028</v>
      </c>
      <c r="G42" s="27" t="n">
        <f aca="false">C42-F42</f>
        <v>460940.908192618</v>
      </c>
    </row>
    <row r="43" customFormat="false" ht="15" hidden="false" customHeight="false" outlineLevel="0" collapsed="false">
      <c r="B43" s="38" t="n">
        <v>31</v>
      </c>
      <c r="C43" s="27" t="n">
        <f aca="false">G42</f>
        <v>460940.908192618</v>
      </c>
      <c r="D43" s="27" t="n">
        <f aca="false">E43+F43</f>
        <v>7421.42482265508</v>
      </c>
      <c r="E43" s="27" t="n">
        <f aca="false">IF(B43&lt;=$D$6,C43*$D$5/12,0)</f>
        <v>4033.23294668541</v>
      </c>
      <c r="F43" s="27" t="n">
        <f aca="false">IF(B43&lt;=$D$6,MIN($D$7-E43,C43),0)</f>
        <v>3388.19187596968</v>
      </c>
      <c r="G43" s="27" t="n">
        <f aca="false">C43-F43</f>
        <v>457552.716316648</v>
      </c>
    </row>
    <row r="44" customFormat="false" ht="15" hidden="false" customHeight="false" outlineLevel="0" collapsed="false">
      <c r="B44" s="38" t="n">
        <v>32</v>
      </c>
      <c r="C44" s="27" t="n">
        <f aca="false">G43</f>
        <v>457552.716316648</v>
      </c>
      <c r="D44" s="27" t="n">
        <f aca="false">E44+F44</f>
        <v>7421.42482265508</v>
      </c>
      <c r="E44" s="27" t="n">
        <f aca="false">IF(B44&lt;=$D$6,C44*$D$5/12,0)</f>
        <v>4003.58626777067</v>
      </c>
      <c r="F44" s="27" t="n">
        <f aca="false">IF(B44&lt;=$D$6,MIN($D$7-E44,C44),0)</f>
        <v>3417.83855488441</v>
      </c>
      <c r="G44" s="27" t="n">
        <f aca="false">C44-F44</f>
        <v>454134.877761764</v>
      </c>
    </row>
    <row r="45" customFormat="false" ht="15" hidden="false" customHeight="false" outlineLevel="0" collapsed="false">
      <c r="B45" s="38" t="n">
        <v>33</v>
      </c>
      <c r="C45" s="27" t="n">
        <f aca="false">G44</f>
        <v>454134.877761764</v>
      </c>
      <c r="D45" s="27" t="n">
        <f aca="false">E45+F45</f>
        <v>7421.42482265508</v>
      </c>
      <c r="E45" s="27" t="n">
        <f aca="false">IF(B45&lt;=$D$6,C45*$D$5/12,0)</f>
        <v>3973.68018041543</v>
      </c>
      <c r="F45" s="27" t="n">
        <f aca="false">IF(B45&lt;=$D$6,MIN($D$7-E45,C45),0)</f>
        <v>3447.74464223965</v>
      </c>
      <c r="G45" s="27" t="n">
        <f aca="false">C45-F45</f>
        <v>450687.133119524</v>
      </c>
    </row>
    <row r="46" customFormat="false" ht="15" hidden="false" customHeight="false" outlineLevel="0" collapsed="false">
      <c r="B46" s="38" t="n">
        <v>34</v>
      </c>
      <c r="C46" s="27" t="n">
        <f aca="false">G45</f>
        <v>450687.133119524</v>
      </c>
      <c r="D46" s="27" t="n">
        <f aca="false">E46+F46</f>
        <v>7421.42482265508</v>
      </c>
      <c r="E46" s="27" t="n">
        <f aca="false">IF(B46&lt;=$D$6,C46*$D$5/12,0)</f>
        <v>3943.51241479584</v>
      </c>
      <c r="F46" s="27" t="n">
        <f aca="false">IF(B46&lt;=$D$6,MIN($D$7-E46,C46),0)</f>
        <v>3477.91240785925</v>
      </c>
      <c r="G46" s="27" t="n">
        <f aca="false">C46-F46</f>
        <v>447209.220711665</v>
      </c>
    </row>
    <row r="47" customFormat="false" ht="15" hidden="false" customHeight="false" outlineLevel="0" collapsed="false">
      <c r="B47" s="38" t="n">
        <v>35</v>
      </c>
      <c r="C47" s="27" t="n">
        <f aca="false">G46</f>
        <v>447209.220711665</v>
      </c>
      <c r="D47" s="27" t="n">
        <f aca="false">E47+F47</f>
        <v>7421.42482265508</v>
      </c>
      <c r="E47" s="27" t="n">
        <f aca="false">IF(B47&lt;=$D$6,C47*$D$5/12,0)</f>
        <v>3913.08068122707</v>
      </c>
      <c r="F47" s="27" t="n">
        <f aca="false">IF(B47&lt;=$D$6,MIN($D$7-E47,C47),0)</f>
        <v>3508.34414142802</v>
      </c>
      <c r="G47" s="27" t="n">
        <f aca="false">C47-F47</f>
        <v>443700.876570237</v>
      </c>
    </row>
    <row r="48" customFormat="false" ht="15" hidden="false" customHeight="false" outlineLevel="0" collapsed="false">
      <c r="B48" s="38" t="n">
        <v>36</v>
      </c>
      <c r="C48" s="27" t="n">
        <f aca="false">G47</f>
        <v>443700.876570237</v>
      </c>
      <c r="D48" s="27" t="n">
        <f aca="false">E48+F48</f>
        <v>7421.42482265508</v>
      </c>
      <c r="E48" s="27" t="n">
        <f aca="false">IF(B48&lt;=$D$6,C48*$D$5/12,0)</f>
        <v>3882.38266998957</v>
      </c>
      <c r="F48" s="27" t="n">
        <f aca="false">IF(B48&lt;=$D$6,MIN($D$7-E48,C48),0)</f>
        <v>3539.04215266551</v>
      </c>
      <c r="G48" s="27" t="n">
        <f aca="false">C48-F48</f>
        <v>440161.834417571</v>
      </c>
    </row>
    <row r="49" customFormat="false" ht="15" hidden="false" customHeight="false" outlineLevel="0" collapsed="false">
      <c r="B49" s="38" t="n">
        <v>37</v>
      </c>
      <c r="C49" s="27" t="n">
        <f aca="false">G48</f>
        <v>440161.834417571</v>
      </c>
      <c r="D49" s="27" t="n">
        <f aca="false">E49+F49</f>
        <v>7421.42482265508</v>
      </c>
      <c r="E49" s="27" t="n">
        <f aca="false">IF(B49&lt;=$D$6,C49*$D$5/12,0)</f>
        <v>3851.41605115375</v>
      </c>
      <c r="F49" s="27" t="n">
        <f aca="false">IF(B49&lt;=$D$6,MIN($D$7-E49,C49),0)</f>
        <v>3570.00877150133</v>
      </c>
      <c r="G49" s="27" t="n">
        <f aca="false">C49-F49</f>
        <v>436591.82564607</v>
      </c>
    </row>
    <row r="50" customFormat="false" ht="15" hidden="false" customHeight="false" outlineLevel="0" collapsed="false">
      <c r="B50" s="38" t="n">
        <v>38</v>
      </c>
      <c r="C50" s="27" t="n">
        <f aca="false">G49</f>
        <v>436591.82564607</v>
      </c>
      <c r="D50" s="27" t="n">
        <f aca="false">E50+F50</f>
        <v>7421.42482265508</v>
      </c>
      <c r="E50" s="27" t="n">
        <f aca="false">IF(B50&lt;=$D$6,C50*$D$5/12,0)</f>
        <v>3820.17847440311</v>
      </c>
      <c r="F50" s="27" t="n">
        <f aca="false">IF(B50&lt;=$D$6,MIN($D$7-E50,C50),0)</f>
        <v>3601.24634825197</v>
      </c>
      <c r="G50" s="27" t="n">
        <f aca="false">C50-F50</f>
        <v>432990.579297818</v>
      </c>
    </row>
    <row r="51" customFormat="false" ht="15" hidden="false" customHeight="false" outlineLevel="0" collapsed="false">
      <c r="B51" s="38" t="n">
        <v>39</v>
      </c>
      <c r="C51" s="27" t="n">
        <f aca="false">G50</f>
        <v>432990.579297818</v>
      </c>
      <c r="D51" s="27" t="n">
        <f aca="false">E51+F51</f>
        <v>7421.42482265508</v>
      </c>
      <c r="E51" s="27" t="n">
        <f aca="false">IF(B51&lt;=$D$6,C51*$D$5/12,0)</f>
        <v>3788.66756885591</v>
      </c>
      <c r="F51" s="27" t="n">
        <f aca="false">IF(B51&lt;=$D$6,MIN($D$7-E51,C51),0)</f>
        <v>3632.75725379918</v>
      </c>
      <c r="G51" s="27" t="n">
        <f aca="false">C51-F51</f>
        <v>429357.822044019</v>
      </c>
    </row>
    <row r="52" customFormat="false" ht="15" hidden="false" customHeight="false" outlineLevel="0" collapsed="false">
      <c r="B52" s="38" t="n">
        <v>40</v>
      </c>
      <c r="C52" s="27" t="n">
        <f aca="false">G51</f>
        <v>429357.822044019</v>
      </c>
      <c r="D52" s="27" t="n">
        <f aca="false">E52+F52</f>
        <v>7421.42482265508</v>
      </c>
      <c r="E52" s="27" t="n">
        <f aca="false">IF(B52&lt;=$D$6,C52*$D$5/12,0)</f>
        <v>3756.88094288517</v>
      </c>
      <c r="F52" s="27" t="n">
        <f aca="false">IF(B52&lt;=$D$6,MIN($D$7-E52,C52),0)</f>
        <v>3664.54387976992</v>
      </c>
      <c r="G52" s="27" t="n">
        <f aca="false">C52-F52</f>
        <v>425693.278164249</v>
      </c>
    </row>
    <row r="53" customFormat="false" ht="15" hidden="false" customHeight="false" outlineLevel="0" collapsed="false">
      <c r="B53" s="38" t="n">
        <v>41</v>
      </c>
      <c r="C53" s="27" t="n">
        <f aca="false">G52</f>
        <v>425693.278164249</v>
      </c>
      <c r="D53" s="27" t="n">
        <f aca="false">E53+F53</f>
        <v>7421.42482265508</v>
      </c>
      <c r="E53" s="27" t="n">
        <f aca="false">IF(B53&lt;=$D$6,C53*$D$5/12,0)</f>
        <v>3724.81618393718</v>
      </c>
      <c r="F53" s="27" t="n">
        <f aca="false">IF(B53&lt;=$D$6,MIN($D$7-E53,C53),0)</f>
        <v>3696.60863871791</v>
      </c>
      <c r="G53" s="27" t="n">
        <f aca="false">C53-F53</f>
        <v>421996.669525531</v>
      </c>
    </row>
    <row r="54" customFormat="false" ht="15" hidden="false" customHeight="false" outlineLevel="0" collapsed="false">
      <c r="B54" s="38" t="n">
        <v>42</v>
      </c>
      <c r="C54" s="27" t="n">
        <f aca="false">G53</f>
        <v>421996.669525531</v>
      </c>
      <c r="D54" s="27" t="n">
        <f aca="false">E54+F54</f>
        <v>7421.42482265508</v>
      </c>
      <c r="E54" s="27" t="n">
        <f aca="false">IF(B54&lt;=$D$6,C54*$D$5/12,0)</f>
        <v>3692.4708583484</v>
      </c>
      <c r="F54" s="27" t="n">
        <f aca="false">IF(B54&lt;=$D$6,MIN($D$7-E54,C54),0)</f>
        <v>3728.95396430669</v>
      </c>
      <c r="G54" s="27" t="n">
        <f aca="false">C54-F54</f>
        <v>418267.715561224</v>
      </c>
    </row>
    <row r="55" customFormat="false" ht="15" hidden="false" customHeight="false" outlineLevel="0" collapsed="false">
      <c r="B55" s="38" t="n">
        <v>43</v>
      </c>
      <c r="C55" s="27" t="n">
        <f aca="false">G54</f>
        <v>418267.715561224</v>
      </c>
      <c r="D55" s="27" t="n">
        <f aca="false">E55+F55</f>
        <v>7421.42482265508</v>
      </c>
      <c r="E55" s="27" t="n">
        <f aca="false">IF(B55&lt;=$D$6,C55*$D$5/12,0)</f>
        <v>3659.84251116071</v>
      </c>
      <c r="F55" s="27" t="n">
        <f aca="false">IF(B55&lt;=$D$6,MIN($D$7-E55,C55),0)</f>
        <v>3761.58231149437</v>
      </c>
      <c r="G55" s="27" t="n">
        <f aca="false">C55-F55</f>
        <v>414506.13324973</v>
      </c>
    </row>
    <row r="56" customFormat="false" ht="15" hidden="false" customHeight="false" outlineLevel="0" collapsed="false">
      <c r="B56" s="38" t="n">
        <v>44</v>
      </c>
      <c r="C56" s="27" t="n">
        <f aca="false">G55</f>
        <v>414506.13324973</v>
      </c>
      <c r="D56" s="27" t="n">
        <f aca="false">E56+F56</f>
        <v>7421.42482265508</v>
      </c>
      <c r="E56" s="27" t="n">
        <f aca="false">IF(B56&lt;=$D$6,C56*$D$5/12,0)</f>
        <v>3626.92866593514</v>
      </c>
      <c r="F56" s="27" t="n">
        <f aca="false">IF(B56&lt;=$D$6,MIN($D$7-E56,C56),0)</f>
        <v>3794.49615671995</v>
      </c>
      <c r="G56" s="27" t="n">
        <f aca="false">C56-F56</f>
        <v>410711.63709301</v>
      </c>
    </row>
    <row r="57" customFormat="false" ht="15" hidden="false" customHeight="false" outlineLevel="0" collapsed="false">
      <c r="B57" s="38" t="n">
        <v>45</v>
      </c>
      <c r="C57" s="27" t="n">
        <f aca="false">G56</f>
        <v>410711.63709301</v>
      </c>
      <c r="D57" s="27" t="n">
        <f aca="false">E57+F57</f>
        <v>7421.42482265508</v>
      </c>
      <c r="E57" s="27" t="n">
        <f aca="false">IF(B57&lt;=$D$6,C57*$D$5/12,0)</f>
        <v>3593.72682456384</v>
      </c>
      <c r="F57" s="27" t="n">
        <f aca="false">IF(B57&lt;=$D$6,MIN($D$7-E57,C57),0)</f>
        <v>3827.69799809125</v>
      </c>
      <c r="G57" s="27" t="n">
        <f aca="false">C57-F57</f>
        <v>406883.939094919</v>
      </c>
    </row>
    <row r="58" customFormat="false" ht="15" hidden="false" customHeight="false" outlineLevel="0" collapsed="false">
      <c r="B58" s="38" t="n">
        <v>46</v>
      </c>
      <c r="C58" s="27" t="n">
        <f aca="false">G57</f>
        <v>406883.939094919</v>
      </c>
      <c r="D58" s="27" t="n">
        <f aca="false">E58+F58</f>
        <v>7421.42482265508</v>
      </c>
      <c r="E58" s="27" t="n">
        <f aca="false">IF(B58&lt;=$D$6,C58*$D$5/12,0)</f>
        <v>3560.23446708054</v>
      </c>
      <c r="F58" s="27" t="n">
        <f aca="false">IF(B58&lt;=$D$6,MIN($D$7-E58,C58),0)</f>
        <v>3861.19035557455</v>
      </c>
      <c r="G58" s="27" t="n">
        <f aca="false">C58-F58</f>
        <v>403022.748739344</v>
      </c>
    </row>
    <row r="59" customFormat="false" ht="15" hidden="false" customHeight="false" outlineLevel="0" collapsed="false">
      <c r="B59" s="38" t="n">
        <v>47</v>
      </c>
      <c r="C59" s="27" t="n">
        <f aca="false">G58</f>
        <v>403022.748739344</v>
      </c>
      <c r="D59" s="27" t="n">
        <f aca="false">E59+F59</f>
        <v>7421.42482265508</v>
      </c>
      <c r="E59" s="27" t="n">
        <f aca="false">IF(B59&lt;=$D$6,C59*$D$5/12,0)</f>
        <v>3526.44905146926</v>
      </c>
      <c r="F59" s="27" t="n">
        <f aca="false">IF(B59&lt;=$D$6,MIN($D$7-E59,C59),0)</f>
        <v>3894.97577118582</v>
      </c>
      <c r="G59" s="27" t="n">
        <f aca="false">C59-F59</f>
        <v>399127.772968159</v>
      </c>
    </row>
    <row r="60" customFormat="false" ht="15" hidden="false" customHeight="false" outlineLevel="0" collapsed="false">
      <c r="B60" s="38" t="n">
        <v>48</v>
      </c>
      <c r="C60" s="27" t="n">
        <f aca="false">G59</f>
        <v>399127.772968159</v>
      </c>
      <c r="D60" s="27" t="n">
        <f aca="false">E60+F60</f>
        <v>7421.42482265508</v>
      </c>
      <c r="E60" s="27" t="n">
        <f aca="false">IF(B60&lt;=$D$6,C60*$D$5/12,0)</f>
        <v>3492.36801347139</v>
      </c>
      <c r="F60" s="27" t="n">
        <f aca="false">IF(B60&lt;=$D$6,MIN($D$7-E60,C60),0)</f>
        <v>3929.0568091837</v>
      </c>
      <c r="G60" s="27" t="n">
        <f aca="false">C60-F60</f>
        <v>395198.716158975</v>
      </c>
    </row>
    <row r="61" customFormat="false" ht="15" hidden="false" customHeight="false" outlineLevel="0" collapsed="false">
      <c r="B61" s="38" t="n">
        <v>49</v>
      </c>
      <c r="C61" s="27" t="n">
        <f aca="false">G60</f>
        <v>395198.716158975</v>
      </c>
      <c r="D61" s="27" t="n">
        <f aca="false">E61+F61</f>
        <v>7421.42482265508</v>
      </c>
      <c r="E61" s="27" t="n">
        <f aca="false">IF(B61&lt;=$D$6,C61*$D$5/12,0)</f>
        <v>3457.98876639103</v>
      </c>
      <c r="F61" s="27" t="n">
        <f aca="false">IF(B61&lt;=$D$6,MIN($D$7-E61,C61),0)</f>
        <v>3963.43605626406</v>
      </c>
      <c r="G61" s="27" t="n">
        <f aca="false">C61-F61</f>
        <v>391235.280102711</v>
      </c>
    </row>
    <row r="62" customFormat="false" ht="15" hidden="false" customHeight="false" outlineLevel="0" collapsed="false">
      <c r="B62" s="38" t="n">
        <v>50</v>
      </c>
      <c r="C62" s="27" t="n">
        <f aca="false">G61</f>
        <v>391235.280102711</v>
      </c>
      <c r="D62" s="27" t="n">
        <f aca="false">E62+F62</f>
        <v>7421.42482265508</v>
      </c>
      <c r="E62" s="27" t="n">
        <f aca="false">IF(B62&lt;=$D$6,C62*$D$5/12,0)</f>
        <v>3423.30870089872</v>
      </c>
      <c r="F62" s="27" t="n">
        <f aca="false">IF(B62&lt;=$D$6,MIN($D$7-E62,C62),0)</f>
        <v>3998.11612175637</v>
      </c>
      <c r="G62" s="27" t="n">
        <f aca="false">C62-F62</f>
        <v>387237.163980954</v>
      </c>
    </row>
    <row r="63" customFormat="false" ht="15" hidden="false" customHeight="false" outlineLevel="0" collapsed="false">
      <c r="B63" s="38" t="n">
        <v>51</v>
      </c>
      <c r="C63" s="27" t="n">
        <f aca="false">G62</f>
        <v>387237.163980954</v>
      </c>
      <c r="D63" s="27" t="n">
        <f aca="false">E63+F63</f>
        <v>7421.42482265508</v>
      </c>
      <c r="E63" s="27" t="n">
        <f aca="false">IF(B63&lt;=$D$6,C63*$D$5/12,0)</f>
        <v>3388.32518483335</v>
      </c>
      <c r="F63" s="27" t="n">
        <f aca="false">IF(B63&lt;=$D$6,MIN($D$7-E63,C63),0)</f>
        <v>4033.09963782173</v>
      </c>
      <c r="G63" s="27" t="n">
        <f aca="false">C63-F63</f>
        <v>383204.064343133</v>
      </c>
    </row>
    <row r="64" customFormat="false" ht="15" hidden="false" customHeight="false" outlineLevel="0" collapsed="false">
      <c r="B64" s="38" t="n">
        <v>52</v>
      </c>
      <c r="C64" s="27" t="n">
        <f aca="false">G63</f>
        <v>383204.064343133</v>
      </c>
      <c r="D64" s="27" t="n">
        <f aca="false">E64+F64</f>
        <v>7421.42482265508</v>
      </c>
      <c r="E64" s="27" t="n">
        <f aca="false">IF(B64&lt;=$D$6,C64*$D$5/12,0)</f>
        <v>3353.03556300241</v>
      </c>
      <c r="F64" s="27" t="n">
        <f aca="false">IF(B64&lt;=$D$6,MIN($D$7-E64,C64),0)</f>
        <v>4068.38925965267</v>
      </c>
      <c r="G64" s="27" t="n">
        <f aca="false">C64-F64</f>
        <v>379135.67508348</v>
      </c>
    </row>
    <row r="65" customFormat="false" ht="15" hidden="false" customHeight="false" outlineLevel="0" collapsed="false">
      <c r="B65" s="38" t="n">
        <v>53</v>
      </c>
      <c r="C65" s="27" t="n">
        <f aca="false">G64</f>
        <v>379135.67508348</v>
      </c>
      <c r="D65" s="27" t="n">
        <f aca="false">E65+F65</f>
        <v>7421.42482265508</v>
      </c>
      <c r="E65" s="27" t="n">
        <f aca="false">IF(B65&lt;=$D$6,C65*$D$5/12,0)</f>
        <v>3317.43715698045</v>
      </c>
      <c r="F65" s="27" t="n">
        <f aca="false">IF(B65&lt;=$D$6,MIN($D$7-E65,C65),0)</f>
        <v>4103.98766567464</v>
      </c>
      <c r="G65" s="27" t="n">
        <f aca="false">C65-F65</f>
        <v>375031.687417805</v>
      </c>
    </row>
    <row r="66" customFormat="false" ht="15" hidden="false" customHeight="false" outlineLevel="0" collapsed="false">
      <c r="B66" s="38" t="n">
        <v>54</v>
      </c>
      <c r="C66" s="27" t="n">
        <f aca="false">G65</f>
        <v>375031.687417805</v>
      </c>
      <c r="D66" s="27" t="n">
        <f aca="false">E66+F66</f>
        <v>7421.42482265508</v>
      </c>
      <c r="E66" s="27" t="n">
        <f aca="false">IF(B66&lt;=$D$6,C66*$D$5/12,0)</f>
        <v>3281.5272649058</v>
      </c>
      <c r="F66" s="27" t="n">
        <f aca="false">IF(B66&lt;=$D$6,MIN($D$7-E66,C66),0)</f>
        <v>4139.89755774929</v>
      </c>
      <c r="G66" s="27" t="n">
        <f aca="false">C66-F66</f>
        <v>370891.789860056</v>
      </c>
    </row>
    <row r="67" customFormat="false" ht="15" hidden="false" customHeight="false" outlineLevel="0" collapsed="false">
      <c r="B67" s="38" t="n">
        <v>55</v>
      </c>
      <c r="C67" s="27" t="n">
        <f aca="false">G66</f>
        <v>370891.789860056</v>
      </c>
      <c r="D67" s="27" t="n">
        <f aca="false">E67+F67</f>
        <v>7421.42482265508</v>
      </c>
      <c r="E67" s="27" t="n">
        <f aca="false">IF(B67&lt;=$D$6,C67*$D$5/12,0)</f>
        <v>3245.30316127549</v>
      </c>
      <c r="F67" s="27" t="n">
        <f aca="false">IF(B67&lt;=$D$6,MIN($D$7-E67,C67),0)</f>
        <v>4176.1216613796</v>
      </c>
      <c r="G67" s="27" t="n">
        <f aca="false">C67-F67</f>
        <v>366715.668198676</v>
      </c>
    </row>
    <row r="68" customFormat="false" ht="15" hidden="false" customHeight="false" outlineLevel="0" collapsed="false">
      <c r="B68" s="38" t="n">
        <v>56</v>
      </c>
      <c r="C68" s="27" t="n">
        <f aca="false">G67</f>
        <v>366715.668198676</v>
      </c>
      <c r="D68" s="27" t="n">
        <f aca="false">E68+F68</f>
        <v>7421.42482265508</v>
      </c>
      <c r="E68" s="27" t="n">
        <f aca="false">IF(B68&lt;=$D$6,C68*$D$5/12,0)</f>
        <v>3208.76209673842</v>
      </c>
      <c r="F68" s="27" t="n">
        <f aca="false">IF(B68&lt;=$D$6,MIN($D$7-E68,C68),0)</f>
        <v>4212.66272591667</v>
      </c>
      <c r="G68" s="27" t="n">
        <f aca="false">C68-F68</f>
        <v>362503.00547276</v>
      </c>
    </row>
    <row r="69" customFormat="false" ht="15" hidden="false" customHeight="false" outlineLevel="0" collapsed="false">
      <c r="B69" s="38" t="n">
        <v>57</v>
      </c>
      <c r="C69" s="27" t="n">
        <f aca="false">G68</f>
        <v>362503.00547276</v>
      </c>
      <c r="D69" s="27" t="n">
        <f aca="false">E69+F69</f>
        <v>7421.42482265508</v>
      </c>
      <c r="E69" s="27" t="n">
        <f aca="false">IF(B69&lt;=$D$6,C69*$D$5/12,0)</f>
        <v>3171.90129788665</v>
      </c>
      <c r="F69" s="27" t="n">
        <f aca="false">IF(B69&lt;=$D$6,MIN($D$7-E69,C69),0)</f>
        <v>4249.52352476844</v>
      </c>
      <c r="G69" s="27" t="n">
        <f aca="false">C69-F69</f>
        <v>358253.481947991</v>
      </c>
    </row>
    <row r="70" customFormat="false" ht="15" hidden="false" customHeight="false" outlineLevel="0" collapsed="false">
      <c r="B70" s="38" t="n">
        <v>58</v>
      </c>
      <c r="C70" s="27" t="n">
        <f aca="false">G69</f>
        <v>358253.481947991</v>
      </c>
      <c r="D70" s="27" t="n">
        <f aca="false">E70+F70</f>
        <v>7421.42482265508</v>
      </c>
      <c r="E70" s="27" t="n">
        <f aca="false">IF(B70&lt;=$D$6,C70*$D$5/12,0)</f>
        <v>3134.71796704492</v>
      </c>
      <c r="F70" s="27" t="n">
        <f aca="false">IF(B70&lt;=$D$6,MIN($D$7-E70,C70),0)</f>
        <v>4286.70685561016</v>
      </c>
      <c r="G70" s="27" t="n">
        <f aca="false">C70-F70</f>
        <v>353966.775092381</v>
      </c>
    </row>
    <row r="71" customFormat="false" ht="15" hidden="false" customHeight="false" outlineLevel="0" collapsed="false">
      <c r="B71" s="38" t="n">
        <v>59</v>
      </c>
      <c r="C71" s="27" t="n">
        <f aca="false">G70</f>
        <v>353966.775092381</v>
      </c>
      <c r="D71" s="27" t="n">
        <f aca="false">E71+F71</f>
        <v>7421.42482265508</v>
      </c>
      <c r="E71" s="27" t="n">
        <f aca="false">IF(B71&lt;=$D$6,C71*$D$5/12,0)</f>
        <v>3097.20928205834</v>
      </c>
      <c r="F71" s="27" t="n">
        <f aca="false">IF(B71&lt;=$D$6,MIN($D$7-E71,C71),0)</f>
        <v>4324.21554059675</v>
      </c>
      <c r="G71" s="27" t="n">
        <f aca="false">C71-F71</f>
        <v>349642.559551784</v>
      </c>
    </row>
    <row r="72" customFormat="false" ht="15" hidden="false" customHeight="false" outlineLevel="0" collapsed="false">
      <c r="B72" s="38" t="n">
        <v>60</v>
      </c>
      <c r="C72" s="27" t="n">
        <f aca="false">G71</f>
        <v>349642.559551784</v>
      </c>
      <c r="D72" s="27" t="n">
        <f aca="false">E72+F72</f>
        <v>7421.42482265508</v>
      </c>
      <c r="E72" s="27" t="n">
        <f aca="false">IF(B72&lt;=$D$6,C72*$D$5/12,0)</f>
        <v>3059.37239607811</v>
      </c>
      <c r="F72" s="27" t="n">
        <f aca="false">IF(B72&lt;=$D$6,MIN($D$7-E72,C72),0)</f>
        <v>4362.05242657697</v>
      </c>
      <c r="G72" s="27" t="n">
        <f aca="false">C72-F72</f>
        <v>345280.507125207</v>
      </c>
    </row>
    <row r="73" customFormat="false" ht="15" hidden="false" customHeight="false" outlineLevel="0" collapsed="false">
      <c r="B73" s="38" t="n">
        <v>61</v>
      </c>
      <c r="C73" s="27" t="n">
        <f aca="false">G72</f>
        <v>345280.507125207</v>
      </c>
      <c r="D73" s="27" t="n">
        <f aca="false">E73+F73</f>
        <v>7421.42482265508</v>
      </c>
      <c r="E73" s="27" t="n">
        <f aca="false">IF(B73&lt;=$D$6,C73*$D$5/12,0)</f>
        <v>3021.20443734557</v>
      </c>
      <c r="F73" s="27" t="n">
        <f aca="false">IF(B73&lt;=$D$6,MIN($D$7-E73,C73),0)</f>
        <v>4400.22038530952</v>
      </c>
      <c r="G73" s="27" t="n">
        <f aca="false">C73-F73</f>
        <v>340880.286739898</v>
      </c>
    </row>
    <row r="74" customFormat="false" ht="15" hidden="false" customHeight="false" outlineLevel="0" collapsed="false">
      <c r="B74" s="38" t="n">
        <v>62</v>
      </c>
      <c r="C74" s="27" t="n">
        <f aca="false">G73</f>
        <v>340880.286739898</v>
      </c>
      <c r="D74" s="27" t="n">
        <f aca="false">E74+F74</f>
        <v>7421.42482265508</v>
      </c>
      <c r="E74" s="27" t="n">
        <f aca="false">IF(B74&lt;=$D$6,C74*$D$5/12,0)</f>
        <v>2982.70250897411</v>
      </c>
      <c r="F74" s="27" t="n">
        <f aca="false">IF(B74&lt;=$D$6,MIN($D$7-E74,C74),0)</f>
        <v>4438.72231368098</v>
      </c>
      <c r="G74" s="27" t="n">
        <f aca="false">C74-F74</f>
        <v>336441.564426217</v>
      </c>
    </row>
    <row r="75" customFormat="false" ht="15" hidden="false" customHeight="false" outlineLevel="0" collapsed="false">
      <c r="B75" s="38" t="n">
        <v>63</v>
      </c>
      <c r="C75" s="27" t="n">
        <f aca="false">G74</f>
        <v>336441.564426217</v>
      </c>
      <c r="D75" s="27" t="n">
        <f aca="false">E75+F75</f>
        <v>7421.42482265508</v>
      </c>
      <c r="E75" s="27" t="n">
        <f aca="false">IF(B75&lt;=$D$6,C75*$D$5/12,0)</f>
        <v>2943.8636887294</v>
      </c>
      <c r="F75" s="27" t="n">
        <f aca="false">IF(B75&lt;=$D$6,MIN($D$7-E75,C75),0)</f>
        <v>4477.56113392569</v>
      </c>
      <c r="G75" s="27" t="n">
        <f aca="false">C75-F75</f>
        <v>331964.003292291</v>
      </c>
    </row>
    <row r="76" customFormat="false" ht="15" hidden="false" customHeight="false" outlineLevel="0" collapsed="false">
      <c r="B76" s="38" t="n">
        <v>64</v>
      </c>
      <c r="C76" s="27" t="n">
        <f aca="false">G75</f>
        <v>331964.003292291</v>
      </c>
      <c r="D76" s="27" t="n">
        <f aca="false">E76+F76</f>
        <v>7421.42482265508</v>
      </c>
      <c r="E76" s="27" t="n">
        <f aca="false">IF(B76&lt;=$D$6,C76*$D$5/12,0)</f>
        <v>2904.68502880755</v>
      </c>
      <c r="F76" s="27" t="n">
        <f aca="false">IF(B76&lt;=$D$6,MIN($D$7-E76,C76),0)</f>
        <v>4516.73979384754</v>
      </c>
      <c r="G76" s="27" t="n">
        <f aca="false">C76-F76</f>
        <v>327447.263498444</v>
      </c>
    </row>
    <row r="77" customFormat="false" ht="15" hidden="false" customHeight="false" outlineLevel="0" collapsed="false">
      <c r="B77" s="38" t="n">
        <v>65</v>
      </c>
      <c r="C77" s="27" t="n">
        <f aca="false">G76</f>
        <v>327447.263498444</v>
      </c>
      <c r="D77" s="27" t="n">
        <f aca="false">E77+F77</f>
        <v>7421.42482265508</v>
      </c>
      <c r="E77" s="27" t="n">
        <f aca="false">IF(B77&lt;=$D$6,C77*$D$5/12,0)</f>
        <v>2865.16355561138</v>
      </c>
      <c r="F77" s="27" t="n">
        <f aca="false">IF(B77&lt;=$D$6,MIN($D$7-E77,C77),0)</f>
        <v>4556.2612670437</v>
      </c>
      <c r="G77" s="27" t="n">
        <f aca="false">C77-F77</f>
        <v>322891.0022314</v>
      </c>
    </row>
    <row r="78" customFormat="false" ht="15" hidden="false" customHeight="false" outlineLevel="0" collapsed="false">
      <c r="B78" s="38" t="n">
        <v>66</v>
      </c>
      <c r="C78" s="27" t="n">
        <f aca="false">G77</f>
        <v>322891.0022314</v>
      </c>
      <c r="D78" s="27" t="n">
        <f aca="false">E78+F78</f>
        <v>7421.42482265508</v>
      </c>
      <c r="E78" s="27" t="n">
        <f aca="false">IF(B78&lt;=$D$6,C78*$D$5/12,0)</f>
        <v>2825.29626952475</v>
      </c>
      <c r="F78" s="27" t="n">
        <f aca="false">IF(B78&lt;=$D$6,MIN($D$7-E78,C78),0)</f>
        <v>4596.12855313034</v>
      </c>
      <c r="G78" s="27" t="n">
        <f aca="false">C78-F78</f>
        <v>318294.87367827</v>
      </c>
    </row>
    <row r="79" customFormat="false" ht="15" hidden="false" customHeight="false" outlineLevel="0" collapsed="false">
      <c r="B79" s="38" t="n">
        <v>67</v>
      </c>
      <c r="C79" s="27" t="n">
        <f aca="false">G78</f>
        <v>318294.87367827</v>
      </c>
      <c r="D79" s="27" t="n">
        <f aca="false">E79+F79</f>
        <v>7421.42482265508</v>
      </c>
      <c r="E79" s="27" t="n">
        <f aca="false">IF(B79&lt;=$D$6,C79*$D$5/12,0)</f>
        <v>2785.08014468486</v>
      </c>
      <c r="F79" s="27" t="n">
        <f aca="false">IF(B79&lt;=$D$6,MIN($D$7-E79,C79),0)</f>
        <v>4636.34467797022</v>
      </c>
      <c r="G79" s="27" t="n">
        <f aca="false">C79-F79</f>
        <v>313658.529000299</v>
      </c>
    </row>
    <row r="80" customFormat="false" ht="15" hidden="false" customHeight="false" outlineLevel="0" collapsed="false">
      <c r="B80" s="38" t="n">
        <v>68</v>
      </c>
      <c r="C80" s="27" t="n">
        <f aca="false">G79</f>
        <v>313658.529000299</v>
      </c>
      <c r="D80" s="27" t="n">
        <f aca="false">E80+F80</f>
        <v>7421.42482265508</v>
      </c>
      <c r="E80" s="27" t="n">
        <f aca="false">IF(B80&lt;=$D$6,C80*$D$5/12,0)</f>
        <v>2744.51212875262</v>
      </c>
      <c r="F80" s="27" t="n">
        <f aca="false">IF(B80&lt;=$D$6,MIN($D$7-E80,C80),0)</f>
        <v>4676.91269390246</v>
      </c>
      <c r="G80" s="27" t="n">
        <f aca="false">C80-F80</f>
        <v>308981.616306397</v>
      </c>
    </row>
    <row r="81" customFormat="false" ht="15" hidden="false" customHeight="false" outlineLevel="0" collapsed="false">
      <c r="B81" s="38" t="n">
        <v>69</v>
      </c>
      <c r="C81" s="27" t="n">
        <f aca="false">G80</f>
        <v>308981.616306397</v>
      </c>
      <c r="D81" s="27" t="n">
        <f aca="false">E81+F81</f>
        <v>7421.42482265508</v>
      </c>
      <c r="E81" s="27" t="n">
        <f aca="false">IF(B81&lt;=$D$6,C81*$D$5/12,0)</f>
        <v>2703.58914268097</v>
      </c>
      <c r="F81" s="27" t="n">
        <f aca="false">IF(B81&lt;=$D$6,MIN($D$7-E81,C81),0)</f>
        <v>4717.83567997411</v>
      </c>
      <c r="G81" s="27" t="n">
        <f aca="false">C81-F81</f>
        <v>304263.780626423</v>
      </c>
    </row>
    <row r="82" customFormat="false" ht="15" hidden="false" customHeight="false" outlineLevel="0" collapsed="false">
      <c r="B82" s="38" t="n">
        <v>70</v>
      </c>
      <c r="C82" s="27" t="n">
        <f aca="false">G81</f>
        <v>304263.780626423</v>
      </c>
      <c r="D82" s="27" t="n">
        <f aca="false">E82+F82</f>
        <v>7421.42482265508</v>
      </c>
      <c r="E82" s="27" t="n">
        <f aca="false">IF(B82&lt;=$D$6,C82*$D$5/12,0)</f>
        <v>2662.3080804812</v>
      </c>
      <c r="F82" s="27" t="n">
        <f aca="false">IF(B82&lt;=$D$6,MIN($D$7-E82,C82),0)</f>
        <v>4759.11674217389</v>
      </c>
      <c r="G82" s="27" t="n">
        <f aca="false">C82-F82</f>
        <v>299504.663884249</v>
      </c>
    </row>
    <row r="83" customFormat="false" ht="15" hidden="false" customHeight="false" outlineLevel="0" collapsed="false">
      <c r="B83" s="38" t="n">
        <v>71</v>
      </c>
      <c r="C83" s="27" t="n">
        <f aca="false">G82</f>
        <v>299504.663884249</v>
      </c>
      <c r="D83" s="27" t="n">
        <f aca="false">E83+F83</f>
        <v>7421.42482265508</v>
      </c>
      <c r="E83" s="27" t="n">
        <f aca="false">IF(B83&lt;=$D$6,C83*$D$5/12,0)</f>
        <v>2620.66580898718</v>
      </c>
      <c r="F83" s="27" t="n">
        <f aca="false">IF(B83&lt;=$D$6,MIN($D$7-E83,C83),0)</f>
        <v>4800.75901366791</v>
      </c>
      <c r="G83" s="27" t="n">
        <f aca="false">C83-F83</f>
        <v>294703.904870581</v>
      </c>
    </row>
    <row r="84" customFormat="false" ht="15" hidden="false" customHeight="false" outlineLevel="0" collapsed="false">
      <c r="B84" s="38" t="n">
        <v>72</v>
      </c>
      <c r="C84" s="27" t="n">
        <f aca="false">G83</f>
        <v>294703.904870581</v>
      </c>
      <c r="D84" s="27" t="n">
        <f aca="false">E84+F84</f>
        <v>7421.42482265508</v>
      </c>
      <c r="E84" s="27" t="n">
        <f aca="false">IF(B84&lt;=$D$6,C84*$D$5/12,0)</f>
        <v>2578.65916761758</v>
      </c>
      <c r="F84" s="27" t="n">
        <f aca="false">IF(B84&lt;=$D$6,MIN($D$7-E84,C84),0)</f>
        <v>4842.7656550375</v>
      </c>
      <c r="G84" s="27" t="n">
        <f aca="false">C84-F84</f>
        <v>289861.139215544</v>
      </c>
    </row>
    <row r="85" customFormat="false" ht="15" hidden="false" customHeight="false" outlineLevel="0" collapsed="false">
      <c r="B85" s="38" t="n">
        <v>73</v>
      </c>
      <c r="C85" s="27" t="n">
        <f aca="false">G84</f>
        <v>289861.139215544</v>
      </c>
      <c r="D85" s="27" t="n">
        <f aca="false">E85+F85</f>
        <v>7421.42482265508</v>
      </c>
      <c r="E85" s="27" t="n">
        <f aca="false">IF(B85&lt;=$D$6,C85*$D$5/12,0)</f>
        <v>2536.28496813601</v>
      </c>
      <c r="F85" s="27" t="n">
        <f aca="false">IF(B85&lt;=$D$6,MIN($D$7-E85,C85),0)</f>
        <v>4885.13985451908</v>
      </c>
      <c r="G85" s="27" t="n">
        <f aca="false">C85-F85</f>
        <v>284975.999361025</v>
      </c>
    </row>
    <row r="86" customFormat="false" ht="15" hidden="false" customHeight="false" outlineLevel="0" collapsed="false">
      <c r="B86" s="38" t="n">
        <v>74</v>
      </c>
      <c r="C86" s="27" t="n">
        <f aca="false">G85</f>
        <v>284975.999361025</v>
      </c>
      <c r="D86" s="27" t="n">
        <f aca="false">E86+F86</f>
        <v>7421.42482265508</v>
      </c>
      <c r="E86" s="27" t="n">
        <f aca="false">IF(B86&lt;=$D$6,C86*$D$5/12,0)</f>
        <v>2493.53999440896</v>
      </c>
      <c r="F86" s="27" t="n">
        <f aca="false">IF(B86&lt;=$D$6,MIN($D$7-E86,C86),0)</f>
        <v>4927.88482824612</v>
      </c>
      <c r="G86" s="27" t="n">
        <f aca="false">C86-F86</f>
        <v>280048.114532778</v>
      </c>
    </row>
    <row r="87" customFormat="false" ht="15" hidden="false" customHeight="false" outlineLevel="0" collapsed="false">
      <c r="B87" s="38" t="n">
        <v>75</v>
      </c>
      <c r="C87" s="27" t="n">
        <f aca="false">G86</f>
        <v>280048.114532778</v>
      </c>
      <c r="D87" s="27" t="n">
        <f aca="false">E87+F87</f>
        <v>7421.42482265508</v>
      </c>
      <c r="E87" s="27" t="n">
        <f aca="false">IF(B87&lt;=$D$6,C87*$D$5/12,0)</f>
        <v>2450.42100216181</v>
      </c>
      <c r="F87" s="27" t="n">
        <f aca="false">IF(B87&lt;=$D$6,MIN($D$7-E87,C87),0)</f>
        <v>4971.00382049327</v>
      </c>
      <c r="G87" s="27" t="n">
        <f aca="false">C87-F87</f>
        <v>275077.110712285</v>
      </c>
    </row>
    <row r="88" customFormat="false" ht="15" hidden="false" customHeight="false" outlineLevel="0" collapsed="false">
      <c r="B88" s="38" t="n">
        <v>76</v>
      </c>
      <c r="C88" s="27" t="n">
        <f aca="false">G87</f>
        <v>275077.110712285</v>
      </c>
      <c r="D88" s="27" t="n">
        <f aca="false">E88+F88</f>
        <v>7421.42482265508</v>
      </c>
      <c r="E88" s="27" t="n">
        <f aca="false">IF(B88&lt;=$D$6,C88*$D$5/12,0)</f>
        <v>2406.92471873249</v>
      </c>
      <c r="F88" s="27" t="n">
        <f aca="false">IF(B88&lt;=$D$6,MIN($D$7-E88,C88),0)</f>
        <v>5014.50010392259</v>
      </c>
      <c r="G88" s="27" t="n">
        <f aca="false">C88-F88</f>
        <v>270062.610608363</v>
      </c>
    </row>
    <row r="89" customFormat="false" ht="15" hidden="false" customHeight="false" outlineLevel="0" collapsed="false">
      <c r="B89" s="38" t="n">
        <v>77</v>
      </c>
      <c r="C89" s="27" t="n">
        <f aca="false">G88</f>
        <v>270062.610608363</v>
      </c>
      <c r="D89" s="27" t="n">
        <f aca="false">E89+F89</f>
        <v>7421.42482265508</v>
      </c>
      <c r="E89" s="27" t="n">
        <f aca="false">IF(B89&lt;=$D$6,C89*$D$5/12,0)</f>
        <v>2363.04784282317</v>
      </c>
      <c r="F89" s="27" t="n">
        <f aca="false">IF(B89&lt;=$D$6,MIN($D$7-E89,C89),0)</f>
        <v>5058.37697983191</v>
      </c>
      <c r="G89" s="27" t="n">
        <f aca="false">C89-F89</f>
        <v>265004.233628531</v>
      </c>
    </row>
    <row r="90" customFormat="false" ht="15" hidden="false" customHeight="false" outlineLevel="0" collapsed="false">
      <c r="B90" s="38" t="n">
        <v>78</v>
      </c>
      <c r="C90" s="27" t="n">
        <f aca="false">G89</f>
        <v>265004.233628531</v>
      </c>
      <c r="D90" s="27" t="n">
        <f aca="false">E90+F90</f>
        <v>7421.42482265508</v>
      </c>
      <c r="E90" s="27" t="n">
        <f aca="false">IF(B90&lt;=$D$6,C90*$D$5/12,0)</f>
        <v>2318.78704424964</v>
      </c>
      <c r="F90" s="27" t="n">
        <f aca="false">IF(B90&lt;=$D$6,MIN($D$7-E90,C90),0)</f>
        <v>5102.63777840544</v>
      </c>
      <c r="G90" s="27" t="n">
        <f aca="false">C90-F90</f>
        <v>259901.595850125</v>
      </c>
    </row>
    <row r="91" customFormat="false" ht="15" hidden="false" customHeight="false" outlineLevel="0" collapsed="false">
      <c r="B91" s="38" t="n">
        <v>79</v>
      </c>
      <c r="C91" s="27" t="n">
        <f aca="false">G90</f>
        <v>259901.595850125</v>
      </c>
      <c r="D91" s="27" t="n">
        <f aca="false">E91+F91</f>
        <v>7421.42482265508</v>
      </c>
      <c r="E91" s="27" t="n">
        <f aca="false">IF(B91&lt;=$D$6,C91*$D$5/12,0)</f>
        <v>2274.13896368859</v>
      </c>
      <c r="F91" s="27" t="n">
        <f aca="false">IF(B91&lt;=$D$6,MIN($D$7-E91,C91),0)</f>
        <v>5147.28585896649</v>
      </c>
      <c r="G91" s="27" t="n">
        <f aca="false">C91-F91</f>
        <v>254754.309991159</v>
      </c>
    </row>
    <row r="92" customFormat="false" ht="15" hidden="false" customHeight="false" outlineLevel="0" collapsed="false">
      <c r="B92" s="38" t="n">
        <v>80</v>
      </c>
      <c r="C92" s="27" t="n">
        <f aca="false">G91</f>
        <v>254754.309991159</v>
      </c>
      <c r="D92" s="27" t="n">
        <f aca="false">E92+F92</f>
        <v>7421.42482265508</v>
      </c>
      <c r="E92" s="27" t="n">
        <f aca="false">IF(B92&lt;=$D$6,C92*$D$5/12,0)</f>
        <v>2229.10021242264</v>
      </c>
      <c r="F92" s="27" t="n">
        <f aca="false">IF(B92&lt;=$D$6,MIN($D$7-E92,C92),0)</f>
        <v>5192.32461023245</v>
      </c>
      <c r="G92" s="27" t="n">
        <f aca="false">C92-F92</f>
        <v>249561.985380926</v>
      </c>
    </row>
    <row r="93" customFormat="false" ht="15" hidden="false" customHeight="false" outlineLevel="0" collapsed="false">
      <c r="B93" s="38" t="n">
        <v>81</v>
      </c>
      <c r="C93" s="27" t="n">
        <f aca="false">G92</f>
        <v>249561.985380926</v>
      </c>
      <c r="D93" s="27" t="n">
        <f aca="false">E93+F93</f>
        <v>7421.42482265508</v>
      </c>
      <c r="E93" s="27" t="n">
        <f aca="false">IF(B93&lt;=$D$6,C93*$D$5/12,0)</f>
        <v>2183.6673720831</v>
      </c>
      <c r="F93" s="27" t="n">
        <f aca="false">IF(B93&lt;=$D$6,MIN($D$7-E93,C93),0)</f>
        <v>5237.75745057198</v>
      </c>
      <c r="G93" s="27" t="n">
        <f aca="false">C93-F93</f>
        <v>244324.227930354</v>
      </c>
    </row>
    <row r="94" customFormat="false" ht="15" hidden="false" customHeight="false" outlineLevel="0" collapsed="false">
      <c r="B94" s="38" t="n">
        <v>82</v>
      </c>
      <c r="C94" s="27" t="n">
        <f aca="false">G93</f>
        <v>244324.227930354</v>
      </c>
      <c r="D94" s="27" t="n">
        <f aca="false">E94+F94</f>
        <v>7421.42482265508</v>
      </c>
      <c r="E94" s="27" t="n">
        <f aca="false">IF(B94&lt;=$D$6,C94*$D$5/12,0)</f>
        <v>2137.8369943906</v>
      </c>
      <c r="F94" s="27" t="n">
        <f aca="false">IF(B94&lt;=$D$6,MIN($D$7-E94,C94),0)</f>
        <v>5283.58782826448</v>
      </c>
      <c r="G94" s="27" t="n">
        <f aca="false">C94-F94</f>
        <v>239040.64010209</v>
      </c>
    </row>
    <row r="95" customFormat="false" ht="15" hidden="false" customHeight="false" outlineLevel="0" collapsed="false">
      <c r="B95" s="38" t="n">
        <v>83</v>
      </c>
      <c r="C95" s="27" t="n">
        <f aca="false">G94</f>
        <v>239040.64010209</v>
      </c>
      <c r="D95" s="27" t="n">
        <f aca="false">E95+F95</f>
        <v>7421.42482265508</v>
      </c>
      <c r="E95" s="27" t="n">
        <f aca="false">IF(B95&lt;=$D$6,C95*$D$5/12,0)</f>
        <v>2091.60560089329</v>
      </c>
      <c r="F95" s="27" t="n">
        <f aca="false">IF(B95&lt;=$D$6,MIN($D$7-E95,C95),0)</f>
        <v>5329.8192217618</v>
      </c>
      <c r="G95" s="27" t="n">
        <f aca="false">C95-F95</f>
        <v>233710.820880328</v>
      </c>
    </row>
    <row r="96" customFormat="false" ht="15" hidden="false" customHeight="false" outlineLevel="0" collapsed="false">
      <c r="B96" s="38" t="n">
        <v>84</v>
      </c>
      <c r="C96" s="27" t="n">
        <f aca="false">G95</f>
        <v>233710.820880328</v>
      </c>
      <c r="D96" s="27" t="n">
        <f aca="false">E96+F96</f>
        <v>7421.42482265508</v>
      </c>
      <c r="E96" s="27" t="n">
        <f aca="false">IF(B96&lt;=$D$6,C96*$D$5/12,0)</f>
        <v>2044.96968270287</v>
      </c>
      <c r="F96" s="27" t="n">
        <f aca="false">IF(B96&lt;=$D$6,MIN($D$7-E96,C96),0)</f>
        <v>5376.45513995222</v>
      </c>
      <c r="G96" s="27" t="n">
        <f aca="false">C96-F96</f>
        <v>228334.365740376</v>
      </c>
    </row>
    <row r="97" customFormat="false" ht="15" hidden="false" customHeight="false" outlineLevel="0" collapsed="false">
      <c r="B97" s="38" t="n">
        <v>85</v>
      </c>
      <c r="C97" s="27" t="n">
        <f aca="false">G96</f>
        <v>228334.365740376</v>
      </c>
      <c r="D97" s="27" t="n">
        <f aca="false">E97+F97</f>
        <v>7421.42482265508</v>
      </c>
      <c r="E97" s="27" t="n">
        <f aca="false">IF(B97&lt;=$D$6,C97*$D$5/12,0)</f>
        <v>1997.92570022829</v>
      </c>
      <c r="F97" s="27" t="n">
        <f aca="false">IF(B97&lt;=$D$6,MIN($D$7-E97,C97),0)</f>
        <v>5423.4991224268</v>
      </c>
      <c r="G97" s="27" t="n">
        <f aca="false">C97-F97</f>
        <v>222910.866617949</v>
      </c>
    </row>
    <row r="98" customFormat="false" ht="15" hidden="false" customHeight="false" outlineLevel="0" collapsed="false">
      <c r="B98" s="38" t="n">
        <v>86</v>
      </c>
      <c r="C98" s="27" t="n">
        <f aca="false">G97</f>
        <v>222910.866617949</v>
      </c>
      <c r="D98" s="27" t="n">
        <f aca="false">E98+F98</f>
        <v>7421.42482265508</v>
      </c>
      <c r="E98" s="27" t="n">
        <f aca="false">IF(B98&lt;=$D$6,C98*$D$5/12,0)</f>
        <v>1950.47008290705</v>
      </c>
      <c r="F98" s="27" t="n">
        <f aca="false">IF(B98&lt;=$D$6,MIN($D$7-E98,C98),0)</f>
        <v>5470.95473974803</v>
      </c>
      <c r="G98" s="27" t="n">
        <f aca="false">C98-F98</f>
        <v>217439.911878201</v>
      </c>
    </row>
    <row r="99" customFormat="false" ht="15" hidden="false" customHeight="false" outlineLevel="0" collapsed="false">
      <c r="B99" s="38" t="n">
        <v>87</v>
      </c>
      <c r="C99" s="27" t="n">
        <f aca="false">G98</f>
        <v>217439.911878201</v>
      </c>
      <c r="D99" s="27" t="n">
        <f aca="false">E99+F99</f>
        <v>7421.42482265508</v>
      </c>
      <c r="E99" s="27" t="n">
        <f aca="false">IF(B99&lt;=$D$6,C99*$D$5/12,0)</f>
        <v>1902.59922893426</v>
      </c>
      <c r="F99" s="27" t="n">
        <f aca="false">IF(B99&lt;=$D$6,MIN($D$7-E99,C99),0)</f>
        <v>5518.82559372083</v>
      </c>
      <c r="G99" s="27" t="n">
        <f aca="false">C99-F99</f>
        <v>211921.08628448</v>
      </c>
    </row>
    <row r="100" customFormat="false" ht="15" hidden="false" customHeight="false" outlineLevel="0" collapsed="false">
      <c r="B100" s="38" t="n">
        <v>88</v>
      </c>
      <c r="C100" s="27" t="n">
        <f aca="false">G99</f>
        <v>211921.08628448</v>
      </c>
      <c r="D100" s="27" t="n">
        <f aca="false">E100+F100</f>
        <v>7421.42482265508</v>
      </c>
      <c r="E100" s="27" t="n">
        <f aca="false">IF(B100&lt;=$D$6,C100*$D$5/12,0)</f>
        <v>1854.3095049892</v>
      </c>
      <c r="F100" s="27" t="n">
        <f aca="false">IF(B100&lt;=$D$6,MIN($D$7-E100,C100),0)</f>
        <v>5567.11531766588</v>
      </c>
      <c r="G100" s="27" t="n">
        <f aca="false">C100-F100</f>
        <v>206353.970966814</v>
      </c>
    </row>
    <row r="101" customFormat="false" ht="15" hidden="false" customHeight="false" outlineLevel="0" collapsed="false">
      <c r="B101" s="38" t="n">
        <v>89</v>
      </c>
      <c r="C101" s="27" t="n">
        <f aca="false">G100</f>
        <v>206353.970966814</v>
      </c>
      <c r="D101" s="27" t="n">
        <f aca="false">E101+F101</f>
        <v>7421.42482265508</v>
      </c>
      <c r="E101" s="27" t="n">
        <f aca="false">IF(B101&lt;=$D$6,C101*$D$5/12,0)</f>
        <v>1805.59724595962</v>
      </c>
      <c r="F101" s="27" t="n">
        <f aca="false">IF(B101&lt;=$D$6,MIN($D$7-E101,C101),0)</f>
        <v>5615.82757669546</v>
      </c>
      <c r="G101" s="27" t="n">
        <f aca="false">C101-F101</f>
        <v>200738.143390119</v>
      </c>
    </row>
    <row r="102" customFormat="false" ht="15" hidden="false" customHeight="false" outlineLevel="0" collapsed="false">
      <c r="B102" s="38" t="n">
        <v>90</v>
      </c>
      <c r="C102" s="27" t="n">
        <f aca="false">G101</f>
        <v>200738.143390119</v>
      </c>
      <c r="D102" s="27" t="n">
        <f aca="false">E102+F102</f>
        <v>7421.42482265508</v>
      </c>
      <c r="E102" s="27" t="n">
        <f aca="false">IF(B102&lt;=$D$6,C102*$D$5/12,0)</f>
        <v>1756.45875466354</v>
      </c>
      <c r="F102" s="27" t="n">
        <f aca="false">IF(B102&lt;=$D$6,MIN($D$7-E102,C102),0)</f>
        <v>5664.96606799155</v>
      </c>
      <c r="G102" s="27" t="n">
        <f aca="false">C102-F102</f>
        <v>195073.177322127</v>
      </c>
    </row>
    <row r="103" customFormat="false" ht="15" hidden="false" customHeight="false" outlineLevel="0" collapsed="false">
      <c r="B103" s="38" t="n">
        <v>91</v>
      </c>
      <c r="C103" s="27" t="n">
        <f aca="false">G102</f>
        <v>195073.177322127</v>
      </c>
      <c r="D103" s="27" t="n">
        <f aca="false">E103+F103</f>
        <v>7421.42482265508</v>
      </c>
      <c r="E103" s="27" t="n">
        <f aca="false">IF(B103&lt;=$D$6,C103*$D$5/12,0)</f>
        <v>1706.89030156861</v>
      </c>
      <c r="F103" s="27" t="n">
        <f aca="false">IF(B103&lt;=$D$6,MIN($D$7-E103,C103),0)</f>
        <v>5714.53452108647</v>
      </c>
      <c r="G103" s="27" t="n">
        <f aca="false">C103-F103</f>
        <v>189358.642801041</v>
      </c>
    </row>
    <row r="104" customFormat="false" ht="15" hidden="false" customHeight="false" outlineLevel="0" collapsed="false">
      <c r="B104" s="38" t="n">
        <v>92</v>
      </c>
      <c r="C104" s="27" t="n">
        <f aca="false">G103</f>
        <v>189358.642801041</v>
      </c>
      <c r="D104" s="27" t="n">
        <f aca="false">E104+F104</f>
        <v>7421.42482265508</v>
      </c>
      <c r="E104" s="27" t="n">
        <f aca="false">IF(B104&lt;=$D$6,C104*$D$5/12,0)</f>
        <v>1656.88812450911</v>
      </c>
      <c r="F104" s="27" t="n">
        <f aca="false">IF(B104&lt;=$D$6,MIN($D$7-E104,C104),0)</f>
        <v>5764.53669814598</v>
      </c>
      <c r="G104" s="27" t="n">
        <f aca="false">C104-F104</f>
        <v>183594.106102895</v>
      </c>
    </row>
    <row r="105" customFormat="false" ht="15" hidden="false" customHeight="false" outlineLevel="0" collapsed="false">
      <c r="B105" s="38" t="n">
        <v>93</v>
      </c>
      <c r="C105" s="27" t="n">
        <f aca="false">G104</f>
        <v>183594.106102895</v>
      </c>
      <c r="D105" s="27" t="n">
        <f aca="false">E105+F105</f>
        <v>7421.42482265508</v>
      </c>
      <c r="E105" s="27" t="n">
        <f aca="false">IF(B105&lt;=$D$6,C105*$D$5/12,0)</f>
        <v>1606.44842840033</v>
      </c>
      <c r="F105" s="27" t="n">
        <f aca="false">IF(B105&lt;=$D$6,MIN($D$7-E105,C105),0)</f>
        <v>5814.97639425476</v>
      </c>
      <c r="G105" s="27" t="n">
        <f aca="false">C105-F105</f>
        <v>177779.12970864</v>
      </c>
    </row>
    <row r="106" customFormat="false" ht="15" hidden="false" customHeight="false" outlineLevel="0" collapsed="false">
      <c r="B106" s="38" t="n">
        <v>94</v>
      </c>
      <c r="C106" s="27" t="n">
        <f aca="false">G105</f>
        <v>177779.12970864</v>
      </c>
      <c r="D106" s="27" t="n">
        <f aca="false">E106+F106</f>
        <v>7421.42482265508</v>
      </c>
      <c r="E106" s="27" t="n">
        <f aca="false">IF(B106&lt;=$D$6,C106*$D$5/12,0)</f>
        <v>1555.5673849506</v>
      </c>
      <c r="F106" s="27" t="n">
        <f aca="false">IF(B106&lt;=$D$6,MIN($D$7-E106,C106),0)</f>
        <v>5865.85743770448</v>
      </c>
      <c r="G106" s="27" t="n">
        <f aca="false">C106-F106</f>
        <v>171913.272270936</v>
      </c>
    </row>
    <row r="107" customFormat="false" ht="15" hidden="false" customHeight="false" outlineLevel="0" collapsed="false">
      <c r="B107" s="38" t="n">
        <v>95</v>
      </c>
      <c r="C107" s="27" t="n">
        <f aca="false">G106</f>
        <v>171913.272270936</v>
      </c>
      <c r="D107" s="27" t="n">
        <f aca="false">E107+F107</f>
        <v>7421.42482265508</v>
      </c>
      <c r="E107" s="27" t="n">
        <f aca="false">IF(B107&lt;=$D$6,C107*$D$5/12,0)</f>
        <v>1504.24113237069</v>
      </c>
      <c r="F107" s="27" t="n">
        <f aca="false">IF(B107&lt;=$D$6,MIN($D$7-E107,C107),0)</f>
        <v>5917.1836902844</v>
      </c>
      <c r="G107" s="27" t="n">
        <f aca="false">C107-F107</f>
        <v>165996.088580651</v>
      </c>
    </row>
    <row r="108" customFormat="false" ht="15" hidden="false" customHeight="false" outlineLevel="0" collapsed="false">
      <c r="B108" s="38" t="n">
        <v>96</v>
      </c>
      <c r="C108" s="27" t="n">
        <f aca="false">G107</f>
        <v>165996.088580651</v>
      </c>
      <c r="D108" s="27" t="n">
        <f aca="false">E108+F108</f>
        <v>7421.42482265508</v>
      </c>
      <c r="E108" s="27" t="n">
        <f aca="false">IF(B108&lt;=$D$6,C108*$D$5/12,0)</f>
        <v>1452.4657750807</v>
      </c>
      <c r="F108" s="27" t="n">
        <f aca="false">IF(B108&lt;=$D$6,MIN($D$7-E108,C108),0)</f>
        <v>5968.95904757439</v>
      </c>
      <c r="G108" s="27" t="n">
        <f aca="false">C108-F108</f>
        <v>160027.129533077</v>
      </c>
    </row>
    <row r="109" customFormat="false" ht="15" hidden="false" customHeight="false" outlineLevel="0" collapsed="false">
      <c r="B109" s="38" t="n">
        <v>97</v>
      </c>
      <c r="C109" s="27" t="n">
        <f aca="false">G108</f>
        <v>160027.129533077</v>
      </c>
      <c r="D109" s="27" t="n">
        <f aca="false">E109+F109</f>
        <v>7421.42482265508</v>
      </c>
      <c r="E109" s="27" t="n">
        <f aca="false">IF(B109&lt;=$D$6,C109*$D$5/12,0)</f>
        <v>1400.23738341442</v>
      </c>
      <c r="F109" s="27" t="n">
        <f aca="false">IF(B109&lt;=$D$6,MIN($D$7-E109,C109),0)</f>
        <v>6021.18743924066</v>
      </c>
      <c r="G109" s="27" t="n">
        <f aca="false">C109-F109</f>
        <v>154005.942093836</v>
      </c>
    </row>
    <row r="110" customFormat="false" ht="15" hidden="false" customHeight="false" outlineLevel="0" collapsed="false">
      <c r="B110" s="38" t="n">
        <v>98</v>
      </c>
      <c r="C110" s="27" t="n">
        <f aca="false">G109</f>
        <v>154005.942093836</v>
      </c>
      <c r="D110" s="27" t="n">
        <f aca="false">E110+F110</f>
        <v>7421.42482265508</v>
      </c>
      <c r="E110" s="27" t="n">
        <f aca="false">IF(B110&lt;=$D$6,C110*$D$5/12,0)</f>
        <v>1347.55199332107</v>
      </c>
      <c r="F110" s="27" t="n">
        <f aca="false">IF(B110&lt;=$D$6,MIN($D$7-E110,C110),0)</f>
        <v>6073.87282933402</v>
      </c>
      <c r="G110" s="27" t="n">
        <f aca="false">C110-F110</f>
        <v>147932.069264502</v>
      </c>
    </row>
    <row r="111" customFormat="false" ht="15" hidden="false" customHeight="false" outlineLevel="0" collapsed="false">
      <c r="B111" s="38" t="n">
        <v>99</v>
      </c>
      <c r="C111" s="27" t="n">
        <f aca="false">G110</f>
        <v>147932.069264502</v>
      </c>
      <c r="D111" s="27" t="n">
        <f aca="false">E111+F111</f>
        <v>7421.42482265508</v>
      </c>
      <c r="E111" s="27" t="n">
        <f aca="false">IF(B111&lt;=$D$6,C111*$D$5/12,0)</f>
        <v>1294.40560606439</v>
      </c>
      <c r="F111" s="27" t="n">
        <f aca="false">IF(B111&lt;=$D$6,MIN($D$7-E111,C111),0)</f>
        <v>6127.01921659069</v>
      </c>
      <c r="G111" s="27" t="n">
        <f aca="false">C111-F111</f>
        <v>141805.050047911</v>
      </c>
    </row>
    <row r="112" customFormat="false" ht="15" hidden="false" customHeight="false" outlineLevel="0" collapsed="false">
      <c r="B112" s="38" t="n">
        <v>100</v>
      </c>
      <c r="C112" s="27" t="n">
        <f aca="false">G111</f>
        <v>141805.050047911</v>
      </c>
      <c r="D112" s="27" t="n">
        <f aca="false">E112+F112</f>
        <v>7421.42482265508</v>
      </c>
      <c r="E112" s="27" t="n">
        <f aca="false">IF(B112&lt;=$D$6,C112*$D$5/12,0)</f>
        <v>1240.79418791922</v>
      </c>
      <c r="F112" s="27" t="n">
        <f aca="false">IF(B112&lt;=$D$6,MIN($D$7-E112,C112),0)</f>
        <v>6180.63063473586</v>
      </c>
      <c r="G112" s="27" t="n">
        <f aca="false">C112-F112</f>
        <v>135624.419413176</v>
      </c>
    </row>
    <row r="113" customFormat="false" ht="15" hidden="false" customHeight="false" outlineLevel="0" collapsed="false">
      <c r="B113" s="38" t="n">
        <v>101</v>
      </c>
      <c r="C113" s="27" t="n">
        <f aca="false">G112</f>
        <v>135624.419413176</v>
      </c>
      <c r="D113" s="27" t="n">
        <f aca="false">E113+F113</f>
        <v>7421.42482265508</v>
      </c>
      <c r="E113" s="27" t="n">
        <f aca="false">IF(B113&lt;=$D$6,C113*$D$5/12,0)</f>
        <v>1186.71366986529</v>
      </c>
      <c r="F113" s="27" t="n">
        <f aca="false">IF(B113&lt;=$D$6,MIN($D$7-E113,C113),0)</f>
        <v>6234.7111527898</v>
      </c>
      <c r="G113" s="27" t="n">
        <f aca="false">C113-F113</f>
        <v>129389.708260386</v>
      </c>
    </row>
    <row r="114" customFormat="false" ht="15" hidden="false" customHeight="false" outlineLevel="0" collapsed="false">
      <c r="B114" s="38" t="n">
        <v>102</v>
      </c>
      <c r="C114" s="27" t="n">
        <f aca="false">G113</f>
        <v>129389.708260386</v>
      </c>
      <c r="D114" s="27" t="n">
        <f aca="false">E114+F114</f>
        <v>7421.42482265508</v>
      </c>
      <c r="E114" s="27" t="n">
        <f aca="false">IF(B114&lt;=$D$6,C114*$D$5/12,0)</f>
        <v>1132.15994727837</v>
      </c>
      <c r="F114" s="27" t="n">
        <f aca="false">IF(B114&lt;=$D$6,MIN($D$7-E114,C114),0)</f>
        <v>6289.26487537671</v>
      </c>
      <c r="G114" s="27" t="n">
        <f aca="false">C114-F114</f>
        <v>123100.443385009</v>
      </c>
    </row>
    <row r="115" customFormat="false" ht="15" hidden="false" customHeight="false" outlineLevel="0" collapsed="false">
      <c r="B115" s="38" t="n">
        <v>103</v>
      </c>
      <c r="C115" s="27" t="n">
        <f aca="false">G114</f>
        <v>123100.443385009</v>
      </c>
      <c r="D115" s="27" t="n">
        <f aca="false">E115+F115</f>
        <v>7421.42482265508</v>
      </c>
      <c r="E115" s="27" t="n">
        <f aca="false">IF(B115&lt;=$D$6,C115*$D$5/12,0)</f>
        <v>1077.12887961883</v>
      </c>
      <c r="F115" s="27" t="n">
        <f aca="false">IF(B115&lt;=$D$6,MIN($D$7-E115,C115),0)</f>
        <v>6344.29594303626</v>
      </c>
      <c r="G115" s="27" t="n">
        <f aca="false">C115-F115</f>
        <v>116756.147441973</v>
      </c>
    </row>
    <row r="116" customFormat="false" ht="15" hidden="false" customHeight="false" outlineLevel="0" collapsed="false">
      <c r="B116" s="38" t="n">
        <v>104</v>
      </c>
      <c r="C116" s="27" t="n">
        <f aca="false">G115</f>
        <v>116756.147441973</v>
      </c>
      <c r="D116" s="27" t="n">
        <f aca="false">E116+F116</f>
        <v>7421.42482265508</v>
      </c>
      <c r="E116" s="27" t="n">
        <f aca="false">IF(B116&lt;=$D$6,C116*$D$5/12,0)</f>
        <v>1021.61629011726</v>
      </c>
      <c r="F116" s="27" t="n">
        <f aca="false">IF(B116&lt;=$D$6,MIN($D$7-E116,C116),0)</f>
        <v>6399.80853253782</v>
      </c>
      <c r="G116" s="27" t="n">
        <f aca="false">C116-F116</f>
        <v>110356.338909435</v>
      </c>
    </row>
    <row r="117" customFormat="false" ht="15" hidden="false" customHeight="false" outlineLevel="0" collapsed="false">
      <c r="B117" s="38" t="n">
        <v>105</v>
      </c>
      <c r="C117" s="27" t="n">
        <f aca="false">G116</f>
        <v>110356.338909435</v>
      </c>
      <c r="D117" s="27" t="n">
        <f aca="false">E117+F117</f>
        <v>7421.42482265508</v>
      </c>
      <c r="E117" s="27" t="n">
        <f aca="false">IF(B117&lt;=$D$6,C117*$D$5/12,0)</f>
        <v>965.617965457555</v>
      </c>
      <c r="F117" s="27" t="n">
        <f aca="false">IF(B117&lt;=$D$6,MIN($D$7-E117,C117),0)</f>
        <v>6455.80685719753</v>
      </c>
      <c r="G117" s="27" t="n">
        <f aca="false">C117-F117</f>
        <v>103900.532052237</v>
      </c>
    </row>
    <row r="118" customFormat="false" ht="15" hidden="false" customHeight="false" outlineLevel="0" collapsed="false">
      <c r="B118" s="38" t="n">
        <v>106</v>
      </c>
      <c r="C118" s="27" t="n">
        <f aca="false">G117</f>
        <v>103900.532052237</v>
      </c>
      <c r="D118" s="27" t="n">
        <f aca="false">E118+F118</f>
        <v>7421.42482265508</v>
      </c>
      <c r="E118" s="27" t="n">
        <f aca="false">IF(B118&lt;=$D$6,C118*$D$5/12,0)</f>
        <v>909.129655457077</v>
      </c>
      <c r="F118" s="27" t="n">
        <f aca="false">IF(B118&lt;=$D$6,MIN($D$7-E118,C118),0)</f>
        <v>6512.29516719801</v>
      </c>
      <c r="G118" s="27" t="n">
        <f aca="false">C118-F118</f>
        <v>97388.2368850394</v>
      </c>
    </row>
    <row r="119" customFormat="false" ht="15" hidden="false" customHeight="false" outlineLevel="0" collapsed="false">
      <c r="B119" s="38" t="n">
        <v>107</v>
      </c>
      <c r="C119" s="27" t="n">
        <f aca="false">G118</f>
        <v>97388.2368850394</v>
      </c>
      <c r="D119" s="27" t="n">
        <f aca="false">E119+F119</f>
        <v>7421.42482265508</v>
      </c>
      <c r="E119" s="27" t="n">
        <f aca="false">IF(B119&lt;=$D$6,C119*$D$5/12,0)</f>
        <v>852.147072744095</v>
      </c>
      <c r="F119" s="27" t="n">
        <f aca="false">IF(B119&lt;=$D$6,MIN($D$7-E119,C119),0)</f>
        <v>6569.27774991099</v>
      </c>
      <c r="G119" s="27" t="n">
        <f aca="false">C119-F119</f>
        <v>90818.9591351284</v>
      </c>
    </row>
    <row r="120" customFormat="false" ht="15" hidden="false" customHeight="false" outlineLevel="0" collapsed="false">
      <c r="B120" s="38" t="n">
        <v>108</v>
      </c>
      <c r="C120" s="27" t="n">
        <f aca="false">G119</f>
        <v>90818.9591351284</v>
      </c>
      <c r="D120" s="27" t="n">
        <f aca="false">E120+F120</f>
        <v>7421.42482265508</v>
      </c>
      <c r="E120" s="27" t="n">
        <f aca="false">IF(B120&lt;=$D$6,C120*$D$5/12,0)</f>
        <v>794.665892432373</v>
      </c>
      <c r="F120" s="27" t="n">
        <f aca="false">IF(B120&lt;=$D$6,MIN($D$7-E120,C120),0)</f>
        <v>6626.75893022271</v>
      </c>
      <c r="G120" s="27" t="n">
        <f aca="false">C120-F120</f>
        <v>84192.2002049057</v>
      </c>
    </row>
    <row r="121" customFormat="false" ht="15" hidden="false" customHeight="false" outlineLevel="0" collapsed="false">
      <c r="B121" s="38" t="n">
        <v>109</v>
      </c>
      <c r="C121" s="27" t="n">
        <f aca="false">G120</f>
        <v>84192.2002049057</v>
      </c>
      <c r="D121" s="27" t="n">
        <f aca="false">E121+F121</f>
        <v>7421.42482265508</v>
      </c>
      <c r="E121" s="27" t="n">
        <f aca="false">IF(B121&lt;=$D$6,C121*$D$5/12,0)</f>
        <v>736.681751792925</v>
      </c>
      <c r="F121" s="27" t="n">
        <f aca="false">IF(B121&lt;=$D$6,MIN($D$7-E121,C121),0)</f>
        <v>6684.74307086216</v>
      </c>
      <c r="G121" s="27" t="n">
        <f aca="false">C121-F121</f>
        <v>77507.4571340435</v>
      </c>
    </row>
    <row r="122" customFormat="false" ht="15" hidden="false" customHeight="false" outlineLevel="0" collapsed="false">
      <c r="B122" s="38" t="n">
        <v>110</v>
      </c>
      <c r="C122" s="27" t="n">
        <f aca="false">G121</f>
        <v>77507.4571340435</v>
      </c>
      <c r="D122" s="27" t="n">
        <f aca="false">E122+F122</f>
        <v>7421.42482265508</v>
      </c>
      <c r="E122" s="27" t="n">
        <f aca="false">IF(B122&lt;=$D$6,C122*$D$5/12,0)</f>
        <v>678.190249922881</v>
      </c>
      <c r="F122" s="27" t="n">
        <f aca="false">IF(B122&lt;=$D$6,MIN($D$7-E122,C122),0)</f>
        <v>6743.2345727322</v>
      </c>
      <c r="G122" s="27" t="n">
        <f aca="false">C122-F122</f>
        <v>70764.2225613113</v>
      </c>
    </row>
    <row r="123" customFormat="false" ht="15" hidden="false" customHeight="false" outlineLevel="0" collapsed="false">
      <c r="B123" s="38" t="n">
        <v>111</v>
      </c>
      <c r="C123" s="27" t="n">
        <f aca="false">G122</f>
        <v>70764.2225613113</v>
      </c>
      <c r="D123" s="27" t="n">
        <f aca="false">E123+F123</f>
        <v>7421.42482265508</v>
      </c>
      <c r="E123" s="27" t="n">
        <f aca="false">IF(B123&lt;=$D$6,C123*$D$5/12,0)</f>
        <v>619.186947411474</v>
      </c>
      <c r="F123" s="27" t="n">
        <f aca="false">IF(B123&lt;=$D$6,MIN($D$7-E123,C123),0)</f>
        <v>6802.23787524361</v>
      </c>
      <c r="G123" s="27" t="n">
        <f aca="false">C123-F123</f>
        <v>63961.9846860677</v>
      </c>
    </row>
    <row r="124" customFormat="false" ht="15" hidden="false" customHeight="false" outlineLevel="0" collapsed="false">
      <c r="B124" s="38" t="n">
        <v>112</v>
      </c>
      <c r="C124" s="27" t="n">
        <f aca="false">G123</f>
        <v>63961.9846860677</v>
      </c>
      <c r="D124" s="27" t="n">
        <f aca="false">E124+F124</f>
        <v>7421.42482265508</v>
      </c>
      <c r="E124" s="27" t="n">
        <f aca="false">IF(B124&lt;=$D$6,C124*$D$5/12,0)</f>
        <v>559.667366003092</v>
      </c>
      <c r="F124" s="27" t="n">
        <f aca="false">IF(B124&lt;=$D$6,MIN($D$7-E124,C124),0)</f>
        <v>6861.75745665199</v>
      </c>
      <c r="G124" s="27" t="n">
        <f aca="false">C124-F124</f>
        <v>57100.2272294157</v>
      </c>
    </row>
    <row r="125" customFormat="false" ht="15" hidden="false" customHeight="false" outlineLevel="0" collapsed="false">
      <c r="B125" s="38" t="n">
        <v>113</v>
      </c>
      <c r="C125" s="27" t="n">
        <f aca="false">G124</f>
        <v>57100.2272294157</v>
      </c>
      <c r="D125" s="27" t="n">
        <f aca="false">E125+F125</f>
        <v>7421.42482265508</v>
      </c>
      <c r="E125" s="27" t="n">
        <f aca="false">IF(B125&lt;=$D$6,C125*$D$5/12,0)</f>
        <v>499.626988257387</v>
      </c>
      <c r="F125" s="27" t="n">
        <f aca="false">IF(B125&lt;=$D$6,MIN($D$7-E125,C125),0)</f>
        <v>6921.7978343977</v>
      </c>
      <c r="G125" s="27" t="n">
        <f aca="false">C125-F125</f>
        <v>50178.429395018</v>
      </c>
    </row>
    <row r="126" customFormat="false" ht="15" hidden="false" customHeight="false" outlineLevel="0" collapsed="false">
      <c r="B126" s="38" t="n">
        <v>114</v>
      </c>
      <c r="C126" s="27" t="n">
        <f aca="false">G125</f>
        <v>50178.429395018</v>
      </c>
      <c r="D126" s="27" t="n">
        <f aca="false">E126+F126</f>
        <v>7421.42482265508</v>
      </c>
      <c r="E126" s="27" t="n">
        <f aca="false">IF(B126&lt;=$D$6,C126*$D$5/12,0)</f>
        <v>439.061257206407</v>
      </c>
      <c r="F126" s="27" t="n">
        <f aca="false">IF(B126&lt;=$D$6,MIN($D$7-E126,C126),0)</f>
        <v>6982.36356544868</v>
      </c>
      <c r="G126" s="27" t="n">
        <f aca="false">C126-F126</f>
        <v>43196.0658295693</v>
      </c>
    </row>
    <row r="127" customFormat="false" ht="15" hidden="false" customHeight="false" outlineLevel="0" collapsed="false">
      <c r="B127" s="38" t="n">
        <v>115</v>
      </c>
      <c r="C127" s="27" t="n">
        <f aca="false">G126</f>
        <v>43196.0658295693</v>
      </c>
      <c r="D127" s="27" t="n">
        <f aca="false">E127+F127</f>
        <v>7421.42482265508</v>
      </c>
      <c r="E127" s="27" t="n">
        <f aca="false">IF(B127&lt;=$D$6,C127*$D$5/12,0)</f>
        <v>377.965576008732</v>
      </c>
      <c r="F127" s="27" t="n">
        <f aca="false">IF(B127&lt;=$D$6,MIN($D$7-E127,C127),0)</f>
        <v>7043.45924664635</v>
      </c>
      <c r="G127" s="27" t="n">
        <f aca="false">C127-F127</f>
        <v>36152.606582923</v>
      </c>
    </row>
    <row r="128" customFormat="false" ht="15" hidden="false" customHeight="false" outlineLevel="0" collapsed="false">
      <c r="B128" s="38" t="n">
        <v>116</v>
      </c>
      <c r="C128" s="27" t="n">
        <f aca="false">G127</f>
        <v>36152.606582923</v>
      </c>
      <c r="D128" s="27" t="n">
        <f aca="false">E128+F128</f>
        <v>7421.42482265508</v>
      </c>
      <c r="E128" s="27" t="n">
        <f aca="false">IF(B128&lt;=$D$6,C128*$D$5/12,0)</f>
        <v>316.335307600576</v>
      </c>
      <c r="F128" s="27" t="n">
        <f aca="false">IF(B128&lt;=$D$6,MIN($D$7-E128,C128),0)</f>
        <v>7105.08951505451</v>
      </c>
      <c r="G128" s="27" t="n">
        <f aca="false">C128-F128</f>
        <v>29047.5170678685</v>
      </c>
    </row>
    <row r="129" customFormat="false" ht="15" hidden="false" customHeight="false" outlineLevel="0" collapsed="false">
      <c r="B129" s="38" t="n">
        <v>117</v>
      </c>
      <c r="C129" s="27" t="n">
        <f aca="false">G128</f>
        <v>29047.5170678685</v>
      </c>
      <c r="D129" s="27" t="n">
        <f aca="false">E129+F129</f>
        <v>7421.42482265508</v>
      </c>
      <c r="E129" s="27" t="n">
        <f aca="false">IF(B129&lt;=$D$6,C129*$D$5/12,0)</f>
        <v>254.165774343849</v>
      </c>
      <c r="F129" s="27" t="n">
        <f aca="false">IF(B129&lt;=$D$6,MIN($D$7-E129,C129),0)</f>
        <v>7167.25904831124</v>
      </c>
      <c r="G129" s="27" t="n">
        <f aca="false">C129-F129</f>
        <v>21880.2580195572</v>
      </c>
    </row>
    <row r="130" customFormat="false" ht="15" hidden="false" customHeight="false" outlineLevel="0" collapsed="false">
      <c r="B130" s="38" t="n">
        <v>118</v>
      </c>
      <c r="C130" s="27" t="n">
        <f aca="false">G129</f>
        <v>21880.2580195572</v>
      </c>
      <c r="D130" s="27" t="n">
        <f aca="false">E130+F130</f>
        <v>7421.42482265508</v>
      </c>
      <c r="E130" s="27" t="n">
        <f aca="false">IF(B130&lt;=$D$6,C130*$D$5/12,0)</f>
        <v>191.452257671126</v>
      </c>
      <c r="F130" s="27" t="n">
        <f aca="false">IF(B130&lt;=$D$6,MIN($D$7-E130,C130),0)</f>
        <v>7229.97256498396</v>
      </c>
      <c r="G130" s="27" t="n">
        <f aca="false">C130-F130</f>
        <v>14650.2854545733</v>
      </c>
    </row>
    <row r="131" customFormat="false" ht="15" hidden="false" customHeight="false" outlineLevel="0" collapsed="false">
      <c r="B131" s="38" t="n">
        <v>119</v>
      </c>
      <c r="C131" s="27" t="n">
        <f aca="false">G130</f>
        <v>14650.2854545733</v>
      </c>
      <c r="D131" s="27" t="n">
        <f aca="false">E131+F131</f>
        <v>7421.42482265508</v>
      </c>
      <c r="E131" s="27" t="n">
        <f aca="false">IF(B131&lt;=$D$6,C131*$D$5/12,0)</f>
        <v>128.189997727516</v>
      </c>
      <c r="F131" s="27" t="n">
        <f aca="false">IF(B131&lt;=$D$6,MIN($D$7-E131,C131),0)</f>
        <v>7293.23482492757</v>
      </c>
      <c r="G131" s="27" t="n">
        <f aca="false">C131-F131</f>
        <v>7357.0506296457</v>
      </c>
    </row>
    <row r="132" customFormat="false" ht="15" hidden="false" customHeight="false" outlineLevel="0" collapsed="false">
      <c r="B132" s="38" t="n">
        <v>120</v>
      </c>
      <c r="C132" s="27" t="n">
        <f aca="false">G131</f>
        <v>7357.0506296457</v>
      </c>
      <c r="D132" s="27" t="n">
        <f aca="false">E132+F132</f>
        <v>7421.42482265508</v>
      </c>
      <c r="E132" s="27" t="n">
        <f aca="false">IF(B132&lt;=$D$6,C132*$D$5/12,0)</f>
        <v>64.3741930093999</v>
      </c>
      <c r="F132" s="27" t="n">
        <f aca="false">IF(B132&lt;=$D$6,MIN($D$7-E132,C132),0)</f>
        <v>7357.05062964568</v>
      </c>
      <c r="G132" s="27" t="n">
        <f aca="false">C132-F132</f>
        <v>0</v>
      </c>
    </row>
    <row r="133" customFormat="false" ht="15" hidden="false" customHeight="false" outlineLevel="0" collapsed="false">
      <c r="B133" s="38" t="n">
        <v>121</v>
      </c>
      <c r="C133" s="27" t="n">
        <f aca="false">G132</f>
        <v>0</v>
      </c>
      <c r="D133" s="27" t="n">
        <f aca="false">E133+F133</f>
        <v>0</v>
      </c>
      <c r="E133" s="27" t="n">
        <f aca="false">IF(B133&lt;=$D$6,C133*$D$5/12,0)</f>
        <v>0</v>
      </c>
      <c r="F133" s="27" t="n">
        <f aca="false">IF(B133&lt;=$D$6,MIN($D$7-E133,C133),0)</f>
        <v>0</v>
      </c>
      <c r="G133" s="27" t="n">
        <f aca="false">C133-F133</f>
        <v>0</v>
      </c>
    </row>
    <row r="134" customFormat="false" ht="15" hidden="false" customHeight="false" outlineLevel="0" collapsed="false">
      <c r="B134" s="38" t="n">
        <v>122</v>
      </c>
      <c r="C134" s="27" t="n">
        <f aca="false">G133</f>
        <v>0</v>
      </c>
      <c r="D134" s="27" t="n">
        <f aca="false">E134+F134</f>
        <v>0</v>
      </c>
      <c r="E134" s="27" t="n">
        <f aca="false">IF(B134&lt;=$D$6,C134*$D$5/12,0)</f>
        <v>0</v>
      </c>
      <c r="F134" s="27" t="n">
        <f aca="false">IF(B134&lt;=$D$6,MIN($D$7-E134,C134),0)</f>
        <v>0</v>
      </c>
      <c r="G134" s="27" t="n">
        <f aca="false">C134-F134</f>
        <v>0</v>
      </c>
    </row>
    <row r="135" customFormat="false" ht="15" hidden="false" customHeight="false" outlineLevel="0" collapsed="false">
      <c r="B135" s="38" t="n">
        <v>123</v>
      </c>
      <c r="C135" s="27" t="n">
        <f aca="false">G134</f>
        <v>0</v>
      </c>
      <c r="D135" s="27" t="n">
        <f aca="false">E135+F135</f>
        <v>0</v>
      </c>
      <c r="E135" s="27" t="n">
        <f aca="false">IF(B135&lt;=$D$6,C135*$D$5/12,0)</f>
        <v>0</v>
      </c>
      <c r="F135" s="27" t="n">
        <f aca="false">IF(B135&lt;=$D$6,MIN($D$7-E135,C135),0)</f>
        <v>0</v>
      </c>
      <c r="G135" s="27" t="n">
        <f aca="false">C135-F135</f>
        <v>0</v>
      </c>
    </row>
    <row r="136" customFormat="false" ht="15" hidden="false" customHeight="false" outlineLevel="0" collapsed="false">
      <c r="B136" s="38" t="n">
        <v>124</v>
      </c>
      <c r="C136" s="27" t="n">
        <f aca="false">G135</f>
        <v>0</v>
      </c>
      <c r="D136" s="27" t="n">
        <f aca="false">E136+F136</f>
        <v>0</v>
      </c>
      <c r="E136" s="27" t="n">
        <f aca="false">IF(B136&lt;=$D$6,C136*$D$5/12,0)</f>
        <v>0</v>
      </c>
      <c r="F136" s="27" t="n">
        <f aca="false">IF(B136&lt;=$D$6,MIN($D$7-E136,C136),0)</f>
        <v>0</v>
      </c>
      <c r="G136" s="27" t="n">
        <f aca="false">C136-F136</f>
        <v>0</v>
      </c>
    </row>
    <row r="137" customFormat="false" ht="15" hidden="false" customHeight="false" outlineLevel="0" collapsed="false">
      <c r="B137" s="38" t="n">
        <v>125</v>
      </c>
      <c r="C137" s="27" t="n">
        <f aca="false">G136</f>
        <v>0</v>
      </c>
      <c r="D137" s="27" t="n">
        <f aca="false">E137+F137</f>
        <v>0</v>
      </c>
      <c r="E137" s="27" t="n">
        <f aca="false">IF(B137&lt;=$D$6,C137*$D$5/12,0)</f>
        <v>0</v>
      </c>
      <c r="F137" s="27" t="n">
        <f aca="false">IF(B137&lt;=$D$6,MIN($D$7-E137,C137),0)</f>
        <v>0</v>
      </c>
      <c r="G137" s="27" t="n">
        <f aca="false">C137-F137</f>
        <v>0</v>
      </c>
    </row>
    <row r="138" customFormat="false" ht="15" hidden="false" customHeight="false" outlineLevel="0" collapsed="false">
      <c r="B138" s="38" t="n">
        <v>126</v>
      </c>
      <c r="C138" s="27" t="n">
        <f aca="false">G137</f>
        <v>0</v>
      </c>
      <c r="D138" s="27" t="n">
        <f aca="false">E138+F138</f>
        <v>0</v>
      </c>
      <c r="E138" s="27" t="n">
        <f aca="false">IF(B138&lt;=$D$6,C138*$D$5/12,0)</f>
        <v>0</v>
      </c>
      <c r="F138" s="27" t="n">
        <f aca="false">IF(B138&lt;=$D$6,MIN($D$7-E138,C138),0)</f>
        <v>0</v>
      </c>
      <c r="G138" s="27" t="n">
        <f aca="false">C138-F138</f>
        <v>0</v>
      </c>
    </row>
    <row r="139" customFormat="false" ht="15" hidden="false" customHeight="false" outlineLevel="0" collapsed="false">
      <c r="B139" s="38" t="n">
        <v>127</v>
      </c>
      <c r="C139" s="27" t="n">
        <f aca="false">G138</f>
        <v>0</v>
      </c>
      <c r="D139" s="27" t="n">
        <f aca="false">E139+F139</f>
        <v>0</v>
      </c>
      <c r="E139" s="27" t="n">
        <f aca="false">IF(B139&lt;=$D$6,C139*$D$5/12,0)</f>
        <v>0</v>
      </c>
      <c r="F139" s="27" t="n">
        <f aca="false">IF(B139&lt;=$D$6,MIN($D$7-E139,C139),0)</f>
        <v>0</v>
      </c>
      <c r="G139" s="27" t="n">
        <f aca="false">C139-F139</f>
        <v>0</v>
      </c>
    </row>
    <row r="140" customFormat="false" ht="15" hidden="false" customHeight="false" outlineLevel="0" collapsed="false">
      <c r="B140" s="38" t="n">
        <v>128</v>
      </c>
      <c r="C140" s="27" t="n">
        <f aca="false">G139</f>
        <v>0</v>
      </c>
      <c r="D140" s="27" t="n">
        <f aca="false">E140+F140</f>
        <v>0</v>
      </c>
      <c r="E140" s="27" t="n">
        <f aca="false">IF(B140&lt;=$D$6,C140*$D$5/12,0)</f>
        <v>0</v>
      </c>
      <c r="F140" s="27" t="n">
        <f aca="false">IF(B140&lt;=$D$6,MIN($D$7-E140,C140),0)</f>
        <v>0</v>
      </c>
      <c r="G140" s="27" t="n">
        <f aca="false">C140-F140</f>
        <v>0</v>
      </c>
    </row>
    <row r="141" customFormat="false" ht="15" hidden="false" customHeight="false" outlineLevel="0" collapsed="false">
      <c r="B141" s="38" t="n">
        <v>129</v>
      </c>
      <c r="C141" s="27" t="n">
        <f aca="false">G140</f>
        <v>0</v>
      </c>
      <c r="D141" s="27" t="n">
        <f aca="false">E141+F141</f>
        <v>0</v>
      </c>
      <c r="E141" s="27" t="n">
        <f aca="false">IF(B141&lt;=$D$6,C141*$D$5/12,0)</f>
        <v>0</v>
      </c>
      <c r="F141" s="27" t="n">
        <f aca="false">IF(B141&lt;=$D$6,MIN($D$7-E141,C141),0)</f>
        <v>0</v>
      </c>
      <c r="G141" s="27" t="n">
        <f aca="false">C141-F141</f>
        <v>0</v>
      </c>
    </row>
    <row r="142" customFormat="false" ht="15" hidden="false" customHeight="false" outlineLevel="0" collapsed="false">
      <c r="B142" s="38" t="n">
        <v>130</v>
      </c>
      <c r="C142" s="27" t="n">
        <f aca="false">G141</f>
        <v>0</v>
      </c>
      <c r="D142" s="27" t="n">
        <f aca="false">E142+F142</f>
        <v>0</v>
      </c>
      <c r="E142" s="27" t="n">
        <f aca="false">IF(B142&lt;=$D$6,C142*$D$5/12,0)</f>
        <v>0</v>
      </c>
      <c r="F142" s="27" t="n">
        <f aca="false">IF(B142&lt;=$D$6,MIN($D$7-E142,C142),0)</f>
        <v>0</v>
      </c>
      <c r="G142" s="27" t="n">
        <f aca="false">C142-F142</f>
        <v>0</v>
      </c>
    </row>
    <row r="143" customFormat="false" ht="15" hidden="false" customHeight="false" outlineLevel="0" collapsed="false">
      <c r="B143" s="38" t="n">
        <v>131</v>
      </c>
      <c r="C143" s="27" t="n">
        <f aca="false">G142</f>
        <v>0</v>
      </c>
      <c r="D143" s="27" t="n">
        <f aca="false">E143+F143</f>
        <v>0</v>
      </c>
      <c r="E143" s="27" t="n">
        <f aca="false">IF(B143&lt;=$D$6,C143*$D$5/12,0)</f>
        <v>0</v>
      </c>
      <c r="F143" s="27" t="n">
        <f aca="false">IF(B143&lt;=$D$6,MIN($D$7-E143,C143),0)</f>
        <v>0</v>
      </c>
      <c r="G143" s="27" t="n">
        <f aca="false">C143-F143</f>
        <v>0</v>
      </c>
    </row>
    <row r="144" customFormat="false" ht="15" hidden="false" customHeight="false" outlineLevel="0" collapsed="false">
      <c r="B144" s="38" t="n">
        <v>132</v>
      </c>
      <c r="C144" s="27" t="n">
        <f aca="false">G143</f>
        <v>0</v>
      </c>
      <c r="D144" s="27" t="n">
        <f aca="false">E144+F144</f>
        <v>0</v>
      </c>
      <c r="E144" s="27" t="n">
        <f aca="false">IF(B144&lt;=$D$6,C144*$D$5/12,0)</f>
        <v>0</v>
      </c>
      <c r="F144" s="27" t="n">
        <f aca="false">IF(B144&lt;=$D$6,MIN($D$7-E144,C144),0)</f>
        <v>0</v>
      </c>
      <c r="G144" s="27" t="n">
        <f aca="false">C144-F144</f>
        <v>0</v>
      </c>
    </row>
    <row r="145" customFormat="false" ht="15" hidden="false" customHeight="false" outlineLevel="0" collapsed="false">
      <c r="B145" s="38" t="n">
        <v>133</v>
      </c>
      <c r="C145" s="27" t="n">
        <f aca="false">G144</f>
        <v>0</v>
      </c>
      <c r="D145" s="27" t="n">
        <f aca="false">E145+F145</f>
        <v>0</v>
      </c>
      <c r="E145" s="27" t="n">
        <f aca="false">IF(B145&lt;=$D$6,C145*$D$5/12,0)</f>
        <v>0</v>
      </c>
      <c r="F145" s="27" t="n">
        <f aca="false">IF(B145&lt;=$D$6,MIN($D$7-E145,C145),0)</f>
        <v>0</v>
      </c>
      <c r="G145" s="27" t="n">
        <f aca="false">C145-F145</f>
        <v>0</v>
      </c>
    </row>
    <row r="146" customFormat="false" ht="15" hidden="false" customHeight="false" outlineLevel="0" collapsed="false">
      <c r="B146" s="38" t="n">
        <v>134</v>
      </c>
      <c r="C146" s="27" t="n">
        <f aca="false">G145</f>
        <v>0</v>
      </c>
      <c r="D146" s="27" t="n">
        <f aca="false">E146+F146</f>
        <v>0</v>
      </c>
      <c r="E146" s="27" t="n">
        <f aca="false">IF(B146&lt;=$D$6,C146*$D$5/12,0)</f>
        <v>0</v>
      </c>
      <c r="F146" s="27" t="n">
        <f aca="false">IF(B146&lt;=$D$6,MIN($D$7-E146,C146),0)</f>
        <v>0</v>
      </c>
      <c r="G146" s="27" t="n">
        <f aca="false">C146-F146</f>
        <v>0</v>
      </c>
    </row>
    <row r="147" customFormat="false" ht="15" hidden="false" customHeight="false" outlineLevel="0" collapsed="false">
      <c r="B147" s="38" t="n">
        <v>135</v>
      </c>
      <c r="C147" s="27" t="n">
        <f aca="false">G146</f>
        <v>0</v>
      </c>
      <c r="D147" s="27" t="n">
        <f aca="false">E147+F147</f>
        <v>0</v>
      </c>
      <c r="E147" s="27" t="n">
        <f aca="false">IF(B147&lt;=$D$6,C147*$D$5/12,0)</f>
        <v>0</v>
      </c>
      <c r="F147" s="27" t="n">
        <f aca="false">IF(B147&lt;=$D$6,MIN($D$7-E147,C147),0)</f>
        <v>0</v>
      </c>
      <c r="G147" s="27" t="n">
        <f aca="false">C147-F147</f>
        <v>0</v>
      </c>
    </row>
    <row r="148" customFormat="false" ht="15" hidden="false" customHeight="false" outlineLevel="0" collapsed="false">
      <c r="B148" s="38" t="n">
        <v>136</v>
      </c>
      <c r="C148" s="27" t="n">
        <f aca="false">G147</f>
        <v>0</v>
      </c>
      <c r="D148" s="27" t="n">
        <f aca="false">E148+F148</f>
        <v>0</v>
      </c>
      <c r="E148" s="27" t="n">
        <f aca="false">IF(B148&lt;=$D$6,C148*$D$5/12,0)</f>
        <v>0</v>
      </c>
      <c r="F148" s="27" t="n">
        <f aca="false">IF(B148&lt;=$D$6,MIN($D$7-E148,C148),0)</f>
        <v>0</v>
      </c>
      <c r="G148" s="27" t="n">
        <f aca="false">C148-F148</f>
        <v>0</v>
      </c>
    </row>
    <row r="149" customFormat="false" ht="15" hidden="false" customHeight="false" outlineLevel="0" collapsed="false">
      <c r="B149" s="38" t="n">
        <v>137</v>
      </c>
      <c r="C149" s="27" t="n">
        <f aca="false">G148</f>
        <v>0</v>
      </c>
      <c r="D149" s="27" t="n">
        <f aca="false">E149+F149</f>
        <v>0</v>
      </c>
      <c r="E149" s="27" t="n">
        <f aca="false">IF(B149&lt;=$D$6,C149*$D$5/12,0)</f>
        <v>0</v>
      </c>
      <c r="F149" s="27" t="n">
        <f aca="false">IF(B149&lt;=$D$6,MIN($D$7-E149,C149),0)</f>
        <v>0</v>
      </c>
      <c r="G149" s="27" t="n">
        <f aca="false">C149-F149</f>
        <v>0</v>
      </c>
    </row>
    <row r="150" customFormat="false" ht="15" hidden="false" customHeight="false" outlineLevel="0" collapsed="false">
      <c r="B150" s="38" t="n">
        <v>138</v>
      </c>
      <c r="C150" s="27" t="n">
        <f aca="false">G149</f>
        <v>0</v>
      </c>
      <c r="D150" s="27" t="n">
        <f aca="false">E150+F150</f>
        <v>0</v>
      </c>
      <c r="E150" s="27" t="n">
        <f aca="false">IF(B150&lt;=$D$6,C150*$D$5/12,0)</f>
        <v>0</v>
      </c>
      <c r="F150" s="27" t="n">
        <f aca="false">IF(B150&lt;=$D$6,MIN($D$7-E150,C150),0)</f>
        <v>0</v>
      </c>
      <c r="G150" s="27" t="n">
        <f aca="false">C150-F150</f>
        <v>0</v>
      </c>
    </row>
    <row r="151" customFormat="false" ht="15" hidden="false" customHeight="false" outlineLevel="0" collapsed="false">
      <c r="B151" s="38" t="n">
        <v>139</v>
      </c>
      <c r="C151" s="27" t="n">
        <f aca="false">G150</f>
        <v>0</v>
      </c>
      <c r="D151" s="27" t="n">
        <f aca="false">E151+F151</f>
        <v>0</v>
      </c>
      <c r="E151" s="27" t="n">
        <f aca="false">IF(B151&lt;=$D$6,C151*$D$5/12,0)</f>
        <v>0</v>
      </c>
      <c r="F151" s="27" t="n">
        <f aca="false">IF(B151&lt;=$D$6,MIN($D$7-E151,C151),0)</f>
        <v>0</v>
      </c>
      <c r="G151" s="27" t="n">
        <f aca="false">C151-F151</f>
        <v>0</v>
      </c>
    </row>
    <row r="152" customFormat="false" ht="15" hidden="false" customHeight="false" outlineLevel="0" collapsed="false">
      <c r="B152" s="38" t="n">
        <v>140</v>
      </c>
      <c r="C152" s="27" t="n">
        <f aca="false">G151</f>
        <v>0</v>
      </c>
      <c r="D152" s="27" t="n">
        <f aca="false">E152+F152</f>
        <v>0</v>
      </c>
      <c r="E152" s="27" t="n">
        <f aca="false">IF(B152&lt;=$D$6,C152*$D$5/12,0)</f>
        <v>0</v>
      </c>
      <c r="F152" s="27" t="n">
        <f aca="false">IF(B152&lt;=$D$6,MIN($D$7-E152,C152),0)</f>
        <v>0</v>
      </c>
      <c r="G152" s="27" t="n">
        <f aca="false">C152-F152</f>
        <v>0</v>
      </c>
    </row>
    <row r="153" customFormat="false" ht="15" hidden="false" customHeight="false" outlineLevel="0" collapsed="false">
      <c r="B153" s="38" t="n">
        <v>141</v>
      </c>
      <c r="C153" s="27" t="n">
        <f aca="false">G152</f>
        <v>0</v>
      </c>
      <c r="D153" s="27" t="n">
        <f aca="false">E153+F153</f>
        <v>0</v>
      </c>
      <c r="E153" s="27" t="n">
        <f aca="false">IF(B153&lt;=$D$6,C153*$D$5/12,0)</f>
        <v>0</v>
      </c>
      <c r="F153" s="27" t="n">
        <f aca="false">IF(B153&lt;=$D$6,MIN($D$7-E153,C153),0)</f>
        <v>0</v>
      </c>
      <c r="G153" s="27" t="n">
        <f aca="false">C153-F153</f>
        <v>0</v>
      </c>
    </row>
    <row r="154" customFormat="false" ht="15" hidden="false" customHeight="false" outlineLevel="0" collapsed="false">
      <c r="B154" s="38" t="n">
        <v>142</v>
      </c>
      <c r="C154" s="27" t="n">
        <f aca="false">G153</f>
        <v>0</v>
      </c>
      <c r="D154" s="27" t="n">
        <f aca="false">E154+F154</f>
        <v>0</v>
      </c>
      <c r="E154" s="27" t="n">
        <f aca="false">IF(B154&lt;=$D$6,C154*$D$5/12,0)</f>
        <v>0</v>
      </c>
      <c r="F154" s="27" t="n">
        <f aca="false">IF(B154&lt;=$D$6,MIN($D$7-E154,C154),0)</f>
        <v>0</v>
      </c>
      <c r="G154" s="27" t="n">
        <f aca="false">C154-F154</f>
        <v>0</v>
      </c>
    </row>
    <row r="155" customFormat="false" ht="15" hidden="false" customHeight="false" outlineLevel="0" collapsed="false">
      <c r="B155" s="38" t="n">
        <v>143</v>
      </c>
      <c r="C155" s="27" t="n">
        <f aca="false">G154</f>
        <v>0</v>
      </c>
      <c r="D155" s="27" t="n">
        <f aca="false">E155+F155</f>
        <v>0</v>
      </c>
      <c r="E155" s="27" t="n">
        <f aca="false">IF(B155&lt;=$D$6,C155*$D$5/12,0)</f>
        <v>0</v>
      </c>
      <c r="F155" s="27" t="n">
        <f aca="false">IF(B155&lt;=$D$6,MIN($D$7-E155,C155),0)</f>
        <v>0</v>
      </c>
      <c r="G155" s="27" t="n">
        <f aca="false">C155-F155</f>
        <v>0</v>
      </c>
    </row>
    <row r="156" customFormat="false" ht="15" hidden="false" customHeight="false" outlineLevel="0" collapsed="false">
      <c r="B156" s="38" t="n">
        <v>144</v>
      </c>
      <c r="C156" s="27" t="n">
        <f aca="false">G155</f>
        <v>0</v>
      </c>
      <c r="D156" s="27" t="n">
        <f aca="false">E156+F156</f>
        <v>0</v>
      </c>
      <c r="E156" s="27" t="n">
        <f aca="false">IF(B156&lt;=$D$6,C156*$D$5/12,0)</f>
        <v>0</v>
      </c>
      <c r="F156" s="27" t="n">
        <f aca="false">IF(B156&lt;=$D$6,MIN($D$7-E156,C156),0)</f>
        <v>0</v>
      </c>
      <c r="G156" s="27" t="n">
        <f aca="false">C156-F156</f>
        <v>0</v>
      </c>
    </row>
    <row r="157" customFormat="false" ht="15" hidden="false" customHeight="false" outlineLevel="0" collapsed="false">
      <c r="B157" s="38" t="n">
        <v>145</v>
      </c>
      <c r="C157" s="27" t="n">
        <f aca="false">G156</f>
        <v>0</v>
      </c>
      <c r="D157" s="27" t="n">
        <f aca="false">E157+F157</f>
        <v>0</v>
      </c>
      <c r="E157" s="27" t="n">
        <f aca="false">IF(B157&lt;=$D$6,C157*$D$5/12,0)</f>
        <v>0</v>
      </c>
      <c r="F157" s="27" t="n">
        <f aca="false">IF(B157&lt;=$D$6,MIN($D$7-E157,C157),0)</f>
        <v>0</v>
      </c>
      <c r="G157" s="27" t="n">
        <f aca="false">C157-F157</f>
        <v>0</v>
      </c>
    </row>
    <row r="158" customFormat="false" ht="15" hidden="false" customHeight="false" outlineLevel="0" collapsed="false">
      <c r="B158" s="38" t="n">
        <v>146</v>
      </c>
      <c r="C158" s="27" t="n">
        <f aca="false">G157</f>
        <v>0</v>
      </c>
      <c r="D158" s="27" t="n">
        <f aca="false">E158+F158</f>
        <v>0</v>
      </c>
      <c r="E158" s="27" t="n">
        <f aca="false">IF(B158&lt;=$D$6,C158*$D$5/12,0)</f>
        <v>0</v>
      </c>
      <c r="F158" s="27" t="n">
        <f aca="false">IF(B158&lt;=$D$6,MIN($D$7-E158,C158),0)</f>
        <v>0</v>
      </c>
      <c r="G158" s="27" t="n">
        <f aca="false">C158-F158</f>
        <v>0</v>
      </c>
    </row>
    <row r="159" customFormat="false" ht="15" hidden="false" customHeight="false" outlineLevel="0" collapsed="false">
      <c r="B159" s="38" t="n">
        <v>147</v>
      </c>
      <c r="C159" s="27" t="n">
        <f aca="false">G158</f>
        <v>0</v>
      </c>
      <c r="D159" s="27" t="n">
        <f aca="false">E159+F159</f>
        <v>0</v>
      </c>
      <c r="E159" s="27" t="n">
        <f aca="false">IF(B159&lt;=$D$6,C159*$D$5/12,0)</f>
        <v>0</v>
      </c>
      <c r="F159" s="27" t="n">
        <f aca="false">IF(B159&lt;=$D$6,MIN($D$7-E159,C159),0)</f>
        <v>0</v>
      </c>
      <c r="G159" s="27" t="n">
        <f aca="false">C159-F159</f>
        <v>0</v>
      </c>
    </row>
    <row r="160" customFormat="false" ht="15" hidden="false" customHeight="false" outlineLevel="0" collapsed="false">
      <c r="B160" s="38" t="n">
        <v>148</v>
      </c>
      <c r="C160" s="27" t="n">
        <f aca="false">G159</f>
        <v>0</v>
      </c>
      <c r="D160" s="27" t="n">
        <f aca="false">E160+F160</f>
        <v>0</v>
      </c>
      <c r="E160" s="27" t="n">
        <f aca="false">IF(B160&lt;=$D$6,C160*$D$5/12,0)</f>
        <v>0</v>
      </c>
      <c r="F160" s="27" t="n">
        <f aca="false">IF(B160&lt;=$D$6,MIN($D$7-E160,C160),0)</f>
        <v>0</v>
      </c>
      <c r="G160" s="27" t="n">
        <f aca="false">C160-F160</f>
        <v>0</v>
      </c>
    </row>
    <row r="161" customFormat="false" ht="15" hidden="false" customHeight="false" outlineLevel="0" collapsed="false">
      <c r="B161" s="38" t="n">
        <v>149</v>
      </c>
      <c r="C161" s="27" t="n">
        <f aca="false">G160</f>
        <v>0</v>
      </c>
      <c r="D161" s="27" t="n">
        <f aca="false">E161+F161</f>
        <v>0</v>
      </c>
      <c r="E161" s="27" t="n">
        <f aca="false">IF(B161&lt;=$D$6,C161*$D$5/12,0)</f>
        <v>0</v>
      </c>
      <c r="F161" s="27" t="n">
        <f aca="false">IF(B161&lt;=$D$6,MIN($D$7-E161,C161),0)</f>
        <v>0</v>
      </c>
      <c r="G161" s="27" t="n">
        <f aca="false">C161-F161</f>
        <v>0</v>
      </c>
    </row>
    <row r="162" customFormat="false" ht="15" hidden="false" customHeight="false" outlineLevel="0" collapsed="false">
      <c r="B162" s="38" t="n">
        <v>150</v>
      </c>
      <c r="C162" s="27" t="n">
        <f aca="false">G161</f>
        <v>0</v>
      </c>
      <c r="D162" s="27" t="n">
        <f aca="false">E162+F162</f>
        <v>0</v>
      </c>
      <c r="E162" s="27" t="n">
        <f aca="false">IF(B162&lt;=$D$6,C162*$D$5/12,0)</f>
        <v>0</v>
      </c>
      <c r="F162" s="27" t="n">
        <f aca="false">IF(B162&lt;=$D$6,MIN($D$7-E162,C162),0)</f>
        <v>0</v>
      </c>
      <c r="G162" s="27" t="n">
        <f aca="false">C162-F162</f>
        <v>0</v>
      </c>
    </row>
    <row r="163" customFormat="false" ht="15" hidden="false" customHeight="false" outlineLevel="0" collapsed="false">
      <c r="B163" s="38" t="n">
        <v>151</v>
      </c>
      <c r="C163" s="27" t="n">
        <f aca="false">G162</f>
        <v>0</v>
      </c>
      <c r="D163" s="27" t="n">
        <f aca="false">E163+F163</f>
        <v>0</v>
      </c>
      <c r="E163" s="27" t="n">
        <f aca="false">IF(B163&lt;=$D$6,C163*$D$5/12,0)</f>
        <v>0</v>
      </c>
      <c r="F163" s="27" t="n">
        <f aca="false">IF(B163&lt;=$D$6,MIN($D$7-E163,C163),0)</f>
        <v>0</v>
      </c>
      <c r="G163" s="27" t="n">
        <f aca="false">C163-F163</f>
        <v>0</v>
      </c>
    </row>
    <row r="164" customFormat="false" ht="15" hidden="false" customHeight="false" outlineLevel="0" collapsed="false">
      <c r="B164" s="38" t="n">
        <v>152</v>
      </c>
      <c r="C164" s="27" t="n">
        <f aca="false">G163</f>
        <v>0</v>
      </c>
      <c r="D164" s="27" t="n">
        <f aca="false">E164+F164</f>
        <v>0</v>
      </c>
      <c r="E164" s="27" t="n">
        <f aca="false">IF(B164&lt;=$D$6,C164*$D$5/12,0)</f>
        <v>0</v>
      </c>
      <c r="F164" s="27" t="n">
        <f aca="false">IF(B164&lt;=$D$6,MIN($D$7-E164,C164),0)</f>
        <v>0</v>
      </c>
      <c r="G164" s="27" t="n">
        <f aca="false">C164-F164</f>
        <v>0</v>
      </c>
    </row>
    <row r="165" customFormat="false" ht="15" hidden="false" customHeight="false" outlineLevel="0" collapsed="false">
      <c r="B165" s="38" t="n">
        <v>153</v>
      </c>
      <c r="C165" s="27" t="n">
        <f aca="false">G164</f>
        <v>0</v>
      </c>
      <c r="D165" s="27" t="n">
        <f aca="false">E165+F165</f>
        <v>0</v>
      </c>
      <c r="E165" s="27" t="n">
        <f aca="false">IF(B165&lt;=$D$6,C165*$D$5/12,0)</f>
        <v>0</v>
      </c>
      <c r="F165" s="27" t="n">
        <f aca="false">IF(B165&lt;=$D$6,MIN($D$7-E165,C165),0)</f>
        <v>0</v>
      </c>
      <c r="G165" s="27" t="n">
        <f aca="false">C165-F165</f>
        <v>0</v>
      </c>
    </row>
    <row r="166" customFormat="false" ht="15" hidden="false" customHeight="false" outlineLevel="0" collapsed="false">
      <c r="B166" s="38" t="n">
        <v>154</v>
      </c>
      <c r="C166" s="27" t="n">
        <f aca="false">G165</f>
        <v>0</v>
      </c>
      <c r="D166" s="27" t="n">
        <f aca="false">E166+F166</f>
        <v>0</v>
      </c>
      <c r="E166" s="27" t="n">
        <f aca="false">IF(B166&lt;=$D$6,C166*$D$5/12,0)</f>
        <v>0</v>
      </c>
      <c r="F166" s="27" t="n">
        <f aca="false">IF(B166&lt;=$D$6,MIN($D$7-E166,C166),0)</f>
        <v>0</v>
      </c>
      <c r="G166" s="27" t="n">
        <f aca="false">C166-F166</f>
        <v>0</v>
      </c>
    </row>
    <row r="167" customFormat="false" ht="15" hidden="false" customHeight="false" outlineLevel="0" collapsed="false">
      <c r="B167" s="38" t="n">
        <v>155</v>
      </c>
      <c r="C167" s="27" t="n">
        <f aca="false">G166</f>
        <v>0</v>
      </c>
      <c r="D167" s="27" t="n">
        <f aca="false">E167+F167</f>
        <v>0</v>
      </c>
      <c r="E167" s="27" t="n">
        <f aca="false">IF(B167&lt;=$D$6,C167*$D$5/12,0)</f>
        <v>0</v>
      </c>
      <c r="F167" s="27" t="n">
        <f aca="false">IF(B167&lt;=$D$6,MIN($D$7-E167,C167),0)</f>
        <v>0</v>
      </c>
      <c r="G167" s="27" t="n">
        <f aca="false">C167-F167</f>
        <v>0</v>
      </c>
    </row>
    <row r="168" customFormat="false" ht="15" hidden="false" customHeight="false" outlineLevel="0" collapsed="false">
      <c r="B168" s="38" t="n">
        <v>156</v>
      </c>
      <c r="C168" s="27" t="n">
        <f aca="false">G167</f>
        <v>0</v>
      </c>
      <c r="D168" s="27" t="n">
        <f aca="false">E168+F168</f>
        <v>0</v>
      </c>
      <c r="E168" s="27" t="n">
        <f aca="false">IF(B168&lt;=$D$6,C168*$D$5/12,0)</f>
        <v>0</v>
      </c>
      <c r="F168" s="27" t="n">
        <f aca="false">IF(B168&lt;=$D$6,MIN($D$7-E168,C168),0)</f>
        <v>0</v>
      </c>
      <c r="G168" s="27" t="n">
        <f aca="false">C168-F168</f>
        <v>0</v>
      </c>
    </row>
    <row r="169" customFormat="false" ht="15" hidden="false" customHeight="false" outlineLevel="0" collapsed="false">
      <c r="B169" s="38" t="n">
        <v>157</v>
      </c>
      <c r="C169" s="27" t="n">
        <f aca="false">G168</f>
        <v>0</v>
      </c>
      <c r="D169" s="27" t="n">
        <f aca="false">E169+F169</f>
        <v>0</v>
      </c>
      <c r="E169" s="27" t="n">
        <f aca="false">IF(B169&lt;=$D$6,C169*$D$5/12,0)</f>
        <v>0</v>
      </c>
      <c r="F169" s="27" t="n">
        <f aca="false">IF(B169&lt;=$D$6,MIN($D$7-E169,C169),0)</f>
        <v>0</v>
      </c>
      <c r="G169" s="27" t="n">
        <f aca="false">C169-F169</f>
        <v>0</v>
      </c>
    </row>
    <row r="170" customFormat="false" ht="15" hidden="false" customHeight="false" outlineLevel="0" collapsed="false">
      <c r="B170" s="38" t="n">
        <v>158</v>
      </c>
      <c r="C170" s="27" t="n">
        <f aca="false">G169</f>
        <v>0</v>
      </c>
      <c r="D170" s="27" t="n">
        <f aca="false">E170+F170</f>
        <v>0</v>
      </c>
      <c r="E170" s="27" t="n">
        <f aca="false">IF(B170&lt;=$D$6,C170*$D$5/12,0)</f>
        <v>0</v>
      </c>
      <c r="F170" s="27" t="n">
        <f aca="false">IF(B170&lt;=$D$6,MIN($D$7-E170,C170),0)</f>
        <v>0</v>
      </c>
      <c r="G170" s="27" t="n">
        <f aca="false">C170-F170</f>
        <v>0</v>
      </c>
    </row>
    <row r="171" customFormat="false" ht="15" hidden="false" customHeight="false" outlineLevel="0" collapsed="false">
      <c r="B171" s="38" t="n">
        <v>159</v>
      </c>
      <c r="C171" s="27" t="n">
        <f aca="false">G170</f>
        <v>0</v>
      </c>
      <c r="D171" s="27" t="n">
        <f aca="false">E171+F171</f>
        <v>0</v>
      </c>
      <c r="E171" s="27" t="n">
        <f aca="false">IF(B171&lt;=$D$6,C171*$D$5/12,0)</f>
        <v>0</v>
      </c>
      <c r="F171" s="27" t="n">
        <f aca="false">IF(B171&lt;=$D$6,MIN($D$7-E171,C171),0)</f>
        <v>0</v>
      </c>
      <c r="G171" s="27" t="n">
        <f aca="false">C171-F171</f>
        <v>0</v>
      </c>
    </row>
    <row r="172" customFormat="false" ht="15" hidden="false" customHeight="false" outlineLevel="0" collapsed="false">
      <c r="B172" s="38" t="n">
        <v>160</v>
      </c>
      <c r="C172" s="27" t="n">
        <f aca="false">G171</f>
        <v>0</v>
      </c>
      <c r="D172" s="27" t="n">
        <f aca="false">E172+F172</f>
        <v>0</v>
      </c>
      <c r="E172" s="27" t="n">
        <f aca="false">IF(B172&lt;=$D$6,C172*$D$5/12,0)</f>
        <v>0</v>
      </c>
      <c r="F172" s="27" t="n">
        <f aca="false">IF(B172&lt;=$D$6,MIN($D$7-E172,C172),0)</f>
        <v>0</v>
      </c>
      <c r="G172" s="27" t="n">
        <f aca="false">C172-F172</f>
        <v>0</v>
      </c>
    </row>
    <row r="173" customFormat="false" ht="15" hidden="false" customHeight="false" outlineLevel="0" collapsed="false">
      <c r="B173" s="38" t="n">
        <v>161</v>
      </c>
      <c r="C173" s="27" t="n">
        <f aca="false">G172</f>
        <v>0</v>
      </c>
      <c r="D173" s="27" t="n">
        <f aca="false">E173+F173</f>
        <v>0</v>
      </c>
      <c r="E173" s="27" t="n">
        <f aca="false">IF(B173&lt;=$D$6,C173*$D$5/12,0)</f>
        <v>0</v>
      </c>
      <c r="F173" s="27" t="n">
        <f aca="false">IF(B173&lt;=$D$6,MIN($D$7-E173,C173),0)</f>
        <v>0</v>
      </c>
      <c r="G173" s="27" t="n">
        <f aca="false">C173-F173</f>
        <v>0</v>
      </c>
    </row>
    <row r="174" customFormat="false" ht="15" hidden="false" customHeight="false" outlineLevel="0" collapsed="false">
      <c r="B174" s="38" t="n">
        <v>162</v>
      </c>
      <c r="C174" s="27" t="n">
        <f aca="false">G173</f>
        <v>0</v>
      </c>
      <c r="D174" s="27" t="n">
        <f aca="false">E174+F174</f>
        <v>0</v>
      </c>
      <c r="E174" s="27" t="n">
        <f aca="false">IF(B174&lt;=$D$6,C174*$D$5/12,0)</f>
        <v>0</v>
      </c>
      <c r="F174" s="27" t="n">
        <f aca="false">IF(B174&lt;=$D$6,MIN($D$7-E174,C174),0)</f>
        <v>0</v>
      </c>
      <c r="G174" s="27" t="n">
        <f aca="false">C174-F174</f>
        <v>0</v>
      </c>
    </row>
    <row r="175" customFormat="false" ht="15" hidden="false" customHeight="false" outlineLevel="0" collapsed="false">
      <c r="B175" s="38" t="n">
        <v>163</v>
      </c>
      <c r="C175" s="27" t="n">
        <f aca="false">G174</f>
        <v>0</v>
      </c>
      <c r="D175" s="27" t="n">
        <f aca="false">E175+F175</f>
        <v>0</v>
      </c>
      <c r="E175" s="27" t="n">
        <f aca="false">IF(B175&lt;=$D$6,C175*$D$5/12,0)</f>
        <v>0</v>
      </c>
      <c r="F175" s="27" t="n">
        <f aca="false">IF(B175&lt;=$D$6,MIN($D$7-E175,C175),0)</f>
        <v>0</v>
      </c>
      <c r="G175" s="27" t="n">
        <f aca="false">C175-F175</f>
        <v>0</v>
      </c>
    </row>
    <row r="176" customFormat="false" ht="15" hidden="false" customHeight="false" outlineLevel="0" collapsed="false">
      <c r="B176" s="38" t="n">
        <v>164</v>
      </c>
      <c r="C176" s="27" t="n">
        <f aca="false">G175</f>
        <v>0</v>
      </c>
      <c r="D176" s="27" t="n">
        <f aca="false">E176+F176</f>
        <v>0</v>
      </c>
      <c r="E176" s="27" t="n">
        <f aca="false">IF(B176&lt;=$D$6,C176*$D$5/12,0)</f>
        <v>0</v>
      </c>
      <c r="F176" s="27" t="n">
        <f aca="false">IF(B176&lt;=$D$6,MIN($D$7-E176,C176),0)</f>
        <v>0</v>
      </c>
      <c r="G176" s="27" t="n">
        <f aca="false">C176-F176</f>
        <v>0</v>
      </c>
    </row>
    <row r="177" customFormat="false" ht="15" hidden="false" customHeight="false" outlineLevel="0" collapsed="false">
      <c r="B177" s="38" t="n">
        <v>165</v>
      </c>
      <c r="C177" s="27" t="n">
        <f aca="false">G176</f>
        <v>0</v>
      </c>
      <c r="D177" s="27" t="n">
        <f aca="false">E177+F177</f>
        <v>0</v>
      </c>
      <c r="E177" s="27" t="n">
        <f aca="false">IF(B177&lt;=$D$6,C177*$D$5/12,0)</f>
        <v>0</v>
      </c>
      <c r="F177" s="27" t="n">
        <f aca="false">IF(B177&lt;=$D$6,MIN($D$7-E177,C177),0)</f>
        <v>0</v>
      </c>
      <c r="G177" s="27" t="n">
        <f aca="false">C177-F177</f>
        <v>0</v>
      </c>
    </row>
    <row r="178" customFormat="false" ht="15" hidden="false" customHeight="false" outlineLevel="0" collapsed="false">
      <c r="B178" s="38" t="n">
        <v>166</v>
      </c>
      <c r="C178" s="27" t="n">
        <f aca="false">G177</f>
        <v>0</v>
      </c>
      <c r="D178" s="27" t="n">
        <f aca="false">E178+F178</f>
        <v>0</v>
      </c>
      <c r="E178" s="27" t="n">
        <f aca="false">IF(B178&lt;=$D$6,C178*$D$5/12,0)</f>
        <v>0</v>
      </c>
      <c r="F178" s="27" t="n">
        <f aca="false">IF(B178&lt;=$D$6,MIN($D$7-E178,C178),0)</f>
        <v>0</v>
      </c>
      <c r="G178" s="27" t="n">
        <f aca="false">C178-F178</f>
        <v>0</v>
      </c>
    </row>
    <row r="179" customFormat="false" ht="15" hidden="false" customHeight="false" outlineLevel="0" collapsed="false">
      <c r="B179" s="38" t="n">
        <v>167</v>
      </c>
      <c r="C179" s="27" t="n">
        <f aca="false">G178</f>
        <v>0</v>
      </c>
      <c r="D179" s="27" t="n">
        <f aca="false">E179+F179</f>
        <v>0</v>
      </c>
      <c r="E179" s="27" t="n">
        <f aca="false">IF(B179&lt;=$D$6,C179*$D$5/12,0)</f>
        <v>0</v>
      </c>
      <c r="F179" s="27" t="n">
        <f aca="false">IF(B179&lt;=$D$6,MIN($D$7-E179,C179),0)</f>
        <v>0</v>
      </c>
      <c r="G179" s="27" t="n">
        <f aca="false">C179-F179</f>
        <v>0</v>
      </c>
    </row>
    <row r="180" customFormat="false" ht="15" hidden="false" customHeight="false" outlineLevel="0" collapsed="false">
      <c r="B180" s="38" t="n">
        <v>168</v>
      </c>
      <c r="C180" s="27" t="n">
        <f aca="false">G179</f>
        <v>0</v>
      </c>
      <c r="D180" s="27" t="n">
        <f aca="false">E180+F180</f>
        <v>0</v>
      </c>
      <c r="E180" s="27" t="n">
        <f aca="false">IF(B180&lt;=$D$6,C180*$D$5/12,0)</f>
        <v>0</v>
      </c>
      <c r="F180" s="27" t="n">
        <f aca="false">IF(B180&lt;=$D$6,MIN($D$7-E180,C180),0)</f>
        <v>0</v>
      </c>
      <c r="G180" s="27" t="n">
        <f aca="false">C180-F180</f>
        <v>0</v>
      </c>
    </row>
    <row r="181" customFormat="false" ht="15" hidden="false" customHeight="false" outlineLevel="0" collapsed="false">
      <c r="B181" s="38" t="n">
        <v>169</v>
      </c>
      <c r="C181" s="27" t="n">
        <f aca="false">G180</f>
        <v>0</v>
      </c>
      <c r="D181" s="27" t="n">
        <f aca="false">E181+F181</f>
        <v>0</v>
      </c>
      <c r="E181" s="27" t="n">
        <f aca="false">IF(B181&lt;=$D$6,C181*$D$5/12,0)</f>
        <v>0</v>
      </c>
      <c r="F181" s="27" t="n">
        <f aca="false">IF(B181&lt;=$D$6,MIN($D$7-E181,C181),0)</f>
        <v>0</v>
      </c>
      <c r="G181" s="27" t="n">
        <f aca="false">C181-F181</f>
        <v>0</v>
      </c>
    </row>
    <row r="182" customFormat="false" ht="15" hidden="false" customHeight="false" outlineLevel="0" collapsed="false">
      <c r="B182" s="38" t="n">
        <v>170</v>
      </c>
      <c r="C182" s="27" t="n">
        <f aca="false">G181</f>
        <v>0</v>
      </c>
      <c r="D182" s="27" t="n">
        <f aca="false">E182+F182</f>
        <v>0</v>
      </c>
      <c r="E182" s="27" t="n">
        <f aca="false">IF(B182&lt;=$D$6,C182*$D$5/12,0)</f>
        <v>0</v>
      </c>
      <c r="F182" s="27" t="n">
        <f aca="false">IF(B182&lt;=$D$6,MIN($D$7-E182,C182),0)</f>
        <v>0</v>
      </c>
      <c r="G182" s="27" t="n">
        <f aca="false">C182-F182</f>
        <v>0</v>
      </c>
    </row>
    <row r="183" customFormat="false" ht="15" hidden="false" customHeight="false" outlineLevel="0" collapsed="false">
      <c r="B183" s="38" t="n">
        <v>171</v>
      </c>
      <c r="C183" s="27" t="n">
        <f aca="false">G182</f>
        <v>0</v>
      </c>
      <c r="D183" s="27" t="n">
        <f aca="false">E183+F183</f>
        <v>0</v>
      </c>
      <c r="E183" s="27" t="n">
        <f aca="false">IF(B183&lt;=$D$6,C183*$D$5/12,0)</f>
        <v>0</v>
      </c>
      <c r="F183" s="27" t="n">
        <f aca="false">IF(B183&lt;=$D$6,MIN($D$7-E183,C183),0)</f>
        <v>0</v>
      </c>
      <c r="G183" s="27" t="n">
        <f aca="false">C183-F183</f>
        <v>0</v>
      </c>
    </row>
    <row r="184" customFormat="false" ht="15" hidden="false" customHeight="false" outlineLevel="0" collapsed="false">
      <c r="B184" s="38" t="n">
        <v>172</v>
      </c>
      <c r="C184" s="27" t="n">
        <f aca="false">G183</f>
        <v>0</v>
      </c>
      <c r="D184" s="27" t="n">
        <f aca="false">E184+F184</f>
        <v>0</v>
      </c>
      <c r="E184" s="27" t="n">
        <f aca="false">IF(B184&lt;=$D$6,C184*$D$5/12,0)</f>
        <v>0</v>
      </c>
      <c r="F184" s="27" t="n">
        <f aca="false">IF(B184&lt;=$D$6,MIN($D$7-E184,C184),0)</f>
        <v>0</v>
      </c>
      <c r="G184" s="27" t="n">
        <f aca="false">C184-F184</f>
        <v>0</v>
      </c>
    </row>
    <row r="185" customFormat="false" ht="15" hidden="false" customHeight="false" outlineLevel="0" collapsed="false">
      <c r="B185" s="38" t="n">
        <v>173</v>
      </c>
      <c r="C185" s="27" t="n">
        <f aca="false">G184</f>
        <v>0</v>
      </c>
      <c r="D185" s="27" t="n">
        <f aca="false">E185+F185</f>
        <v>0</v>
      </c>
      <c r="E185" s="27" t="n">
        <f aca="false">IF(B185&lt;=$D$6,C185*$D$5/12,0)</f>
        <v>0</v>
      </c>
      <c r="F185" s="27" t="n">
        <f aca="false">IF(B185&lt;=$D$6,MIN($D$7-E185,C185),0)</f>
        <v>0</v>
      </c>
      <c r="G185" s="27" t="n">
        <f aca="false">C185-F185</f>
        <v>0</v>
      </c>
    </row>
    <row r="186" customFormat="false" ht="15" hidden="false" customHeight="false" outlineLevel="0" collapsed="false">
      <c r="B186" s="38" t="n">
        <v>174</v>
      </c>
      <c r="C186" s="27" t="n">
        <f aca="false">G185</f>
        <v>0</v>
      </c>
      <c r="D186" s="27" t="n">
        <f aca="false">E186+F186</f>
        <v>0</v>
      </c>
      <c r="E186" s="27" t="n">
        <f aca="false">IF(B186&lt;=$D$6,C186*$D$5/12,0)</f>
        <v>0</v>
      </c>
      <c r="F186" s="27" t="n">
        <f aca="false">IF(B186&lt;=$D$6,MIN($D$7-E186,C186),0)</f>
        <v>0</v>
      </c>
      <c r="G186" s="27" t="n">
        <f aca="false">C186-F186</f>
        <v>0</v>
      </c>
    </row>
    <row r="187" customFormat="false" ht="15" hidden="false" customHeight="false" outlineLevel="0" collapsed="false">
      <c r="B187" s="38" t="n">
        <v>175</v>
      </c>
      <c r="C187" s="27" t="n">
        <f aca="false">G186</f>
        <v>0</v>
      </c>
      <c r="D187" s="27" t="n">
        <f aca="false">E187+F187</f>
        <v>0</v>
      </c>
      <c r="E187" s="27" t="n">
        <f aca="false">IF(B187&lt;=$D$6,C187*$D$5/12,0)</f>
        <v>0</v>
      </c>
      <c r="F187" s="27" t="n">
        <f aca="false">IF(B187&lt;=$D$6,MIN($D$7-E187,C187),0)</f>
        <v>0</v>
      </c>
      <c r="G187" s="27" t="n">
        <f aca="false">C187-F187</f>
        <v>0</v>
      </c>
    </row>
    <row r="188" customFormat="false" ht="15" hidden="false" customHeight="false" outlineLevel="0" collapsed="false">
      <c r="B188" s="38" t="n">
        <v>176</v>
      </c>
      <c r="C188" s="27" t="n">
        <f aca="false">G187</f>
        <v>0</v>
      </c>
      <c r="D188" s="27" t="n">
        <f aca="false">E188+F188</f>
        <v>0</v>
      </c>
      <c r="E188" s="27" t="n">
        <f aca="false">IF(B188&lt;=$D$6,C188*$D$5/12,0)</f>
        <v>0</v>
      </c>
      <c r="F188" s="27" t="n">
        <f aca="false">IF(B188&lt;=$D$6,MIN($D$7-E188,C188),0)</f>
        <v>0</v>
      </c>
      <c r="G188" s="27" t="n">
        <f aca="false">C188-F188</f>
        <v>0</v>
      </c>
    </row>
    <row r="189" customFormat="false" ht="15" hidden="false" customHeight="false" outlineLevel="0" collapsed="false">
      <c r="B189" s="38" t="n">
        <v>177</v>
      </c>
      <c r="C189" s="27" t="n">
        <f aca="false">G188</f>
        <v>0</v>
      </c>
      <c r="D189" s="27" t="n">
        <f aca="false">E189+F189</f>
        <v>0</v>
      </c>
      <c r="E189" s="27" t="n">
        <f aca="false">IF(B189&lt;=$D$6,C189*$D$5/12,0)</f>
        <v>0</v>
      </c>
      <c r="F189" s="27" t="n">
        <f aca="false">IF(B189&lt;=$D$6,MIN($D$7-E189,C189),0)</f>
        <v>0</v>
      </c>
      <c r="G189" s="27" t="n">
        <f aca="false">C189-F189</f>
        <v>0</v>
      </c>
    </row>
    <row r="190" customFormat="false" ht="15" hidden="false" customHeight="false" outlineLevel="0" collapsed="false">
      <c r="B190" s="38" t="n">
        <v>178</v>
      </c>
      <c r="C190" s="27" t="n">
        <f aca="false">G189</f>
        <v>0</v>
      </c>
      <c r="D190" s="27" t="n">
        <f aca="false">E190+F190</f>
        <v>0</v>
      </c>
      <c r="E190" s="27" t="n">
        <f aca="false">IF(B190&lt;=$D$6,C190*$D$5/12,0)</f>
        <v>0</v>
      </c>
      <c r="F190" s="27" t="n">
        <f aca="false">IF(B190&lt;=$D$6,MIN($D$7-E190,C190),0)</f>
        <v>0</v>
      </c>
      <c r="G190" s="27" t="n">
        <f aca="false">C190-F190</f>
        <v>0</v>
      </c>
    </row>
    <row r="191" customFormat="false" ht="15" hidden="false" customHeight="false" outlineLevel="0" collapsed="false">
      <c r="B191" s="38" t="n">
        <v>179</v>
      </c>
      <c r="C191" s="27" t="n">
        <f aca="false">G190</f>
        <v>0</v>
      </c>
      <c r="D191" s="27" t="n">
        <f aca="false">E191+F191</f>
        <v>0</v>
      </c>
      <c r="E191" s="27" t="n">
        <f aca="false">IF(B191&lt;=$D$6,C191*$D$5/12,0)</f>
        <v>0</v>
      </c>
      <c r="F191" s="27" t="n">
        <f aca="false">IF(B191&lt;=$D$6,MIN($D$7-E191,C191),0)</f>
        <v>0</v>
      </c>
      <c r="G191" s="27" t="n">
        <f aca="false">C191-F191</f>
        <v>0</v>
      </c>
    </row>
    <row r="192" customFormat="false" ht="15" hidden="false" customHeight="false" outlineLevel="0" collapsed="false">
      <c r="B192" s="38" t="n">
        <v>180</v>
      </c>
      <c r="C192" s="27" t="n">
        <f aca="false">G191</f>
        <v>0</v>
      </c>
      <c r="D192" s="27" t="n">
        <f aca="false">E192+F192</f>
        <v>0</v>
      </c>
      <c r="E192" s="27" t="n">
        <f aca="false">IF(B192&lt;=$D$6,C192*$D$5/12,0)</f>
        <v>0</v>
      </c>
      <c r="F192" s="27" t="n">
        <f aca="false">IF(B192&lt;=$D$6,MIN($D$7-E192,C192),0)</f>
        <v>0</v>
      </c>
      <c r="G192" s="27" t="n">
        <f aca="false">C192-F192</f>
        <v>0</v>
      </c>
    </row>
    <row r="193" customFormat="false" ht="15" hidden="false" customHeight="false" outlineLevel="0" collapsed="false">
      <c r="B193" s="38" t="n">
        <v>181</v>
      </c>
      <c r="C193" s="27" t="n">
        <f aca="false">G192</f>
        <v>0</v>
      </c>
      <c r="D193" s="27" t="n">
        <f aca="false">E193+F193</f>
        <v>0</v>
      </c>
      <c r="E193" s="27" t="n">
        <f aca="false">IF(B193&lt;=$D$6,C193*$D$5/12,0)</f>
        <v>0</v>
      </c>
      <c r="F193" s="27" t="n">
        <f aca="false">IF(B193&lt;=$D$6,MIN($D$7-E193,C193),0)</f>
        <v>0</v>
      </c>
      <c r="G193" s="27" t="n">
        <f aca="false">C193-F193</f>
        <v>0</v>
      </c>
    </row>
    <row r="194" customFormat="false" ht="15" hidden="false" customHeight="false" outlineLevel="0" collapsed="false">
      <c r="B194" s="38" t="n">
        <v>182</v>
      </c>
      <c r="C194" s="27" t="n">
        <f aca="false">G193</f>
        <v>0</v>
      </c>
      <c r="D194" s="27" t="n">
        <f aca="false">E194+F194</f>
        <v>0</v>
      </c>
      <c r="E194" s="27" t="n">
        <f aca="false">IF(B194&lt;=$D$6,C194*$D$5/12,0)</f>
        <v>0</v>
      </c>
      <c r="F194" s="27" t="n">
        <f aca="false">IF(B194&lt;=$D$6,MIN($D$7-E194,C194),0)</f>
        <v>0</v>
      </c>
      <c r="G194" s="27" t="n">
        <f aca="false">C194-F194</f>
        <v>0</v>
      </c>
    </row>
    <row r="195" customFormat="false" ht="15" hidden="false" customHeight="false" outlineLevel="0" collapsed="false">
      <c r="B195" s="38" t="n">
        <v>183</v>
      </c>
      <c r="C195" s="27" t="n">
        <f aca="false">G194</f>
        <v>0</v>
      </c>
      <c r="D195" s="27" t="n">
        <f aca="false">E195+F195</f>
        <v>0</v>
      </c>
      <c r="E195" s="27" t="n">
        <f aca="false">IF(B195&lt;=$D$6,C195*$D$5/12,0)</f>
        <v>0</v>
      </c>
      <c r="F195" s="27" t="n">
        <f aca="false">IF(B195&lt;=$D$6,MIN($D$7-E195,C195),0)</f>
        <v>0</v>
      </c>
      <c r="G195" s="27" t="n">
        <f aca="false">C195-F195</f>
        <v>0</v>
      </c>
    </row>
    <row r="196" customFormat="false" ht="15" hidden="false" customHeight="false" outlineLevel="0" collapsed="false">
      <c r="B196" s="38" t="n">
        <v>184</v>
      </c>
      <c r="C196" s="27" t="n">
        <f aca="false">G195</f>
        <v>0</v>
      </c>
      <c r="D196" s="27" t="n">
        <f aca="false">E196+F196</f>
        <v>0</v>
      </c>
      <c r="E196" s="27" t="n">
        <f aca="false">IF(B196&lt;=$D$6,C196*$D$5/12,0)</f>
        <v>0</v>
      </c>
      <c r="F196" s="27" t="n">
        <f aca="false">IF(B196&lt;=$D$6,MIN($D$7-E196,C196),0)</f>
        <v>0</v>
      </c>
      <c r="G196" s="27" t="n">
        <f aca="false">C196-F196</f>
        <v>0</v>
      </c>
    </row>
    <row r="197" customFormat="false" ht="15" hidden="false" customHeight="false" outlineLevel="0" collapsed="false">
      <c r="B197" s="38" t="n">
        <v>185</v>
      </c>
      <c r="C197" s="27" t="n">
        <f aca="false">G196</f>
        <v>0</v>
      </c>
      <c r="D197" s="27" t="n">
        <f aca="false">E197+F197</f>
        <v>0</v>
      </c>
      <c r="E197" s="27" t="n">
        <f aca="false">IF(B197&lt;=$D$6,C197*$D$5/12,0)</f>
        <v>0</v>
      </c>
      <c r="F197" s="27" t="n">
        <f aca="false">IF(B197&lt;=$D$6,MIN($D$7-E197,C197),0)</f>
        <v>0</v>
      </c>
      <c r="G197" s="27" t="n">
        <f aca="false">C197-F197</f>
        <v>0</v>
      </c>
    </row>
    <row r="198" customFormat="false" ht="15" hidden="false" customHeight="false" outlineLevel="0" collapsed="false">
      <c r="B198" s="38" t="n">
        <v>186</v>
      </c>
      <c r="C198" s="27" t="n">
        <f aca="false">G197</f>
        <v>0</v>
      </c>
      <c r="D198" s="27" t="n">
        <f aca="false">E198+F198</f>
        <v>0</v>
      </c>
      <c r="E198" s="27" t="n">
        <f aca="false">IF(B198&lt;=$D$6,C198*$D$5/12,0)</f>
        <v>0</v>
      </c>
      <c r="F198" s="27" t="n">
        <f aca="false">IF(B198&lt;=$D$6,MIN($D$7-E198,C198),0)</f>
        <v>0</v>
      </c>
      <c r="G198" s="27" t="n">
        <f aca="false">C198-F198</f>
        <v>0</v>
      </c>
    </row>
    <row r="199" customFormat="false" ht="15" hidden="false" customHeight="false" outlineLevel="0" collapsed="false">
      <c r="B199" s="38" t="n">
        <v>187</v>
      </c>
      <c r="C199" s="27" t="n">
        <f aca="false">G198</f>
        <v>0</v>
      </c>
      <c r="D199" s="27" t="n">
        <f aca="false">E199+F199</f>
        <v>0</v>
      </c>
      <c r="E199" s="27" t="n">
        <f aca="false">IF(B199&lt;=$D$6,C199*$D$5/12,0)</f>
        <v>0</v>
      </c>
      <c r="F199" s="27" t="n">
        <f aca="false">IF(B199&lt;=$D$6,MIN($D$7-E199,C199),0)</f>
        <v>0</v>
      </c>
      <c r="G199" s="27" t="n">
        <f aca="false">C199-F199</f>
        <v>0</v>
      </c>
    </row>
    <row r="200" customFormat="false" ht="15" hidden="false" customHeight="false" outlineLevel="0" collapsed="false">
      <c r="B200" s="38" t="n">
        <v>188</v>
      </c>
      <c r="C200" s="27" t="n">
        <f aca="false">G199</f>
        <v>0</v>
      </c>
      <c r="D200" s="27" t="n">
        <f aca="false">E200+F200</f>
        <v>0</v>
      </c>
      <c r="E200" s="27" t="n">
        <f aca="false">IF(B200&lt;=$D$6,C200*$D$5/12,0)</f>
        <v>0</v>
      </c>
      <c r="F200" s="27" t="n">
        <f aca="false">IF(B200&lt;=$D$6,MIN($D$7-E200,C200),0)</f>
        <v>0</v>
      </c>
      <c r="G200" s="27" t="n">
        <f aca="false">C200-F200</f>
        <v>0</v>
      </c>
    </row>
    <row r="201" customFormat="false" ht="15" hidden="false" customHeight="false" outlineLevel="0" collapsed="false">
      <c r="B201" s="38" t="n">
        <v>189</v>
      </c>
      <c r="C201" s="27" t="n">
        <f aca="false">G200</f>
        <v>0</v>
      </c>
      <c r="D201" s="27" t="n">
        <f aca="false">E201+F201</f>
        <v>0</v>
      </c>
      <c r="E201" s="27" t="n">
        <f aca="false">IF(B201&lt;=$D$6,C201*$D$5/12,0)</f>
        <v>0</v>
      </c>
      <c r="F201" s="27" t="n">
        <f aca="false">IF(B201&lt;=$D$6,MIN($D$7-E201,C201),0)</f>
        <v>0</v>
      </c>
      <c r="G201" s="27" t="n">
        <f aca="false">C201-F201</f>
        <v>0</v>
      </c>
    </row>
    <row r="202" customFormat="false" ht="15" hidden="false" customHeight="false" outlineLevel="0" collapsed="false">
      <c r="B202" s="38" t="n">
        <v>190</v>
      </c>
      <c r="C202" s="27" t="n">
        <f aca="false">G201</f>
        <v>0</v>
      </c>
      <c r="D202" s="27" t="n">
        <f aca="false">E202+F202</f>
        <v>0</v>
      </c>
      <c r="E202" s="27" t="n">
        <f aca="false">IF(B202&lt;=$D$6,C202*$D$5/12,0)</f>
        <v>0</v>
      </c>
      <c r="F202" s="27" t="n">
        <f aca="false">IF(B202&lt;=$D$6,MIN($D$7-E202,C202),0)</f>
        <v>0</v>
      </c>
      <c r="G202" s="27" t="n">
        <f aca="false">C202-F202</f>
        <v>0</v>
      </c>
    </row>
    <row r="203" customFormat="false" ht="15" hidden="false" customHeight="false" outlineLevel="0" collapsed="false">
      <c r="B203" s="38" t="n">
        <v>191</v>
      </c>
      <c r="C203" s="27" t="n">
        <f aca="false">G202</f>
        <v>0</v>
      </c>
      <c r="D203" s="27" t="n">
        <f aca="false">E203+F203</f>
        <v>0</v>
      </c>
      <c r="E203" s="27" t="n">
        <f aca="false">IF(B203&lt;=$D$6,C203*$D$5/12,0)</f>
        <v>0</v>
      </c>
      <c r="F203" s="27" t="n">
        <f aca="false">IF(B203&lt;=$D$6,MIN($D$7-E203,C203),0)</f>
        <v>0</v>
      </c>
      <c r="G203" s="27" t="n">
        <f aca="false">C203-F203</f>
        <v>0</v>
      </c>
    </row>
    <row r="204" customFormat="false" ht="15" hidden="false" customHeight="false" outlineLevel="0" collapsed="false">
      <c r="B204" s="38" t="n">
        <v>192</v>
      </c>
      <c r="C204" s="27" t="n">
        <f aca="false">G203</f>
        <v>0</v>
      </c>
      <c r="D204" s="27" t="n">
        <f aca="false">E204+F204</f>
        <v>0</v>
      </c>
      <c r="E204" s="27" t="n">
        <f aca="false">IF(B204&lt;=$D$6,C204*$D$5/12,0)</f>
        <v>0</v>
      </c>
      <c r="F204" s="27" t="n">
        <f aca="false">IF(B204&lt;=$D$6,MIN($D$7-E204,C204),0)</f>
        <v>0</v>
      </c>
      <c r="G204" s="27" t="n">
        <f aca="false">C204-F204</f>
        <v>0</v>
      </c>
    </row>
    <row r="205" customFormat="false" ht="15" hidden="false" customHeight="false" outlineLevel="0" collapsed="false">
      <c r="B205" s="38" t="n">
        <v>193</v>
      </c>
      <c r="C205" s="27" t="n">
        <f aca="false">G204</f>
        <v>0</v>
      </c>
      <c r="D205" s="27" t="n">
        <f aca="false">E205+F205</f>
        <v>0</v>
      </c>
      <c r="E205" s="27" t="n">
        <f aca="false">IF(B205&lt;=$D$6,C205*$D$5/12,0)</f>
        <v>0</v>
      </c>
      <c r="F205" s="27" t="n">
        <f aca="false">IF(B205&lt;=$D$6,MIN($D$7-E205,C205),0)</f>
        <v>0</v>
      </c>
      <c r="G205" s="27" t="n">
        <f aca="false">C205-F205</f>
        <v>0</v>
      </c>
    </row>
    <row r="206" customFormat="false" ht="15" hidden="false" customHeight="false" outlineLevel="0" collapsed="false">
      <c r="B206" s="38" t="n">
        <v>194</v>
      </c>
      <c r="C206" s="27" t="n">
        <f aca="false">G205</f>
        <v>0</v>
      </c>
      <c r="D206" s="27" t="n">
        <f aca="false">E206+F206</f>
        <v>0</v>
      </c>
      <c r="E206" s="27" t="n">
        <f aca="false">IF(B206&lt;=$D$6,C206*$D$5/12,0)</f>
        <v>0</v>
      </c>
      <c r="F206" s="27" t="n">
        <f aca="false">IF(B206&lt;=$D$6,MIN($D$7-E206,C206),0)</f>
        <v>0</v>
      </c>
      <c r="G206" s="27" t="n">
        <f aca="false">C206-F206</f>
        <v>0</v>
      </c>
    </row>
    <row r="207" customFormat="false" ht="15" hidden="false" customHeight="false" outlineLevel="0" collapsed="false">
      <c r="B207" s="38" t="n">
        <v>195</v>
      </c>
      <c r="C207" s="27" t="n">
        <f aca="false">G206</f>
        <v>0</v>
      </c>
      <c r="D207" s="27" t="n">
        <f aca="false">E207+F207</f>
        <v>0</v>
      </c>
      <c r="E207" s="27" t="n">
        <f aca="false">IF(B207&lt;=$D$6,C207*$D$5/12,0)</f>
        <v>0</v>
      </c>
      <c r="F207" s="27" t="n">
        <f aca="false">IF(B207&lt;=$D$6,MIN($D$7-E207,C207),0)</f>
        <v>0</v>
      </c>
      <c r="G207" s="27" t="n">
        <f aca="false">C207-F207</f>
        <v>0</v>
      </c>
    </row>
    <row r="208" customFormat="false" ht="15" hidden="false" customHeight="false" outlineLevel="0" collapsed="false">
      <c r="B208" s="38" t="n">
        <v>196</v>
      </c>
      <c r="C208" s="27" t="n">
        <f aca="false">G207</f>
        <v>0</v>
      </c>
      <c r="D208" s="27" t="n">
        <f aca="false">E208+F208</f>
        <v>0</v>
      </c>
      <c r="E208" s="27" t="n">
        <f aca="false">IF(B208&lt;=$D$6,C208*$D$5/12,0)</f>
        <v>0</v>
      </c>
      <c r="F208" s="27" t="n">
        <f aca="false">IF(B208&lt;=$D$6,MIN($D$7-E208,C208),0)</f>
        <v>0</v>
      </c>
      <c r="G208" s="27" t="n">
        <f aca="false">C208-F208</f>
        <v>0</v>
      </c>
    </row>
    <row r="209" customFormat="false" ht="15" hidden="false" customHeight="false" outlineLevel="0" collapsed="false">
      <c r="B209" s="38" t="n">
        <v>197</v>
      </c>
      <c r="C209" s="27" t="n">
        <f aca="false">G208</f>
        <v>0</v>
      </c>
      <c r="D209" s="27" t="n">
        <f aca="false">E209+F209</f>
        <v>0</v>
      </c>
      <c r="E209" s="27" t="n">
        <f aca="false">IF(B209&lt;=$D$6,C209*$D$5/12,0)</f>
        <v>0</v>
      </c>
      <c r="F209" s="27" t="n">
        <f aca="false">IF(B209&lt;=$D$6,MIN($D$7-E209,C209),0)</f>
        <v>0</v>
      </c>
      <c r="G209" s="27" t="n">
        <f aca="false">C209-F209</f>
        <v>0</v>
      </c>
    </row>
    <row r="210" customFormat="false" ht="15" hidden="false" customHeight="false" outlineLevel="0" collapsed="false">
      <c r="B210" s="38" t="n">
        <v>198</v>
      </c>
      <c r="C210" s="27" t="n">
        <f aca="false">G209</f>
        <v>0</v>
      </c>
      <c r="D210" s="27" t="n">
        <f aca="false">E210+F210</f>
        <v>0</v>
      </c>
      <c r="E210" s="27" t="n">
        <f aca="false">IF(B210&lt;=$D$6,C210*$D$5/12,0)</f>
        <v>0</v>
      </c>
      <c r="F210" s="27" t="n">
        <f aca="false">IF(B210&lt;=$D$6,MIN($D$7-E210,C210),0)</f>
        <v>0</v>
      </c>
      <c r="G210" s="27" t="n">
        <f aca="false">C210-F210</f>
        <v>0</v>
      </c>
    </row>
    <row r="211" customFormat="false" ht="15" hidden="false" customHeight="false" outlineLevel="0" collapsed="false">
      <c r="B211" s="38" t="n">
        <v>199</v>
      </c>
      <c r="C211" s="27" t="n">
        <f aca="false">G210</f>
        <v>0</v>
      </c>
      <c r="D211" s="27" t="n">
        <f aca="false">E211+F211</f>
        <v>0</v>
      </c>
      <c r="E211" s="27" t="n">
        <f aca="false">IF(B211&lt;=$D$6,C211*$D$5/12,0)</f>
        <v>0</v>
      </c>
      <c r="F211" s="27" t="n">
        <f aca="false">IF(B211&lt;=$D$6,MIN($D$7-E211,C211),0)</f>
        <v>0</v>
      </c>
      <c r="G211" s="27" t="n">
        <f aca="false">C211-F211</f>
        <v>0</v>
      </c>
    </row>
    <row r="212" customFormat="false" ht="15" hidden="false" customHeight="false" outlineLevel="0" collapsed="false">
      <c r="B212" s="38" t="n">
        <v>200</v>
      </c>
      <c r="C212" s="27" t="n">
        <f aca="false">G211</f>
        <v>0</v>
      </c>
      <c r="D212" s="27" t="n">
        <f aca="false">E212+F212</f>
        <v>0</v>
      </c>
      <c r="E212" s="27" t="n">
        <f aca="false">IF(B212&lt;=$D$6,C212*$D$5/12,0)</f>
        <v>0</v>
      </c>
      <c r="F212" s="27" t="n">
        <f aca="false">IF(B212&lt;=$D$6,MIN($D$7-E212,C212),0)</f>
        <v>0</v>
      </c>
      <c r="G212" s="27" t="n">
        <f aca="false">C212-F212</f>
        <v>0</v>
      </c>
    </row>
    <row r="213" customFormat="false" ht="15" hidden="false" customHeight="false" outlineLevel="0" collapsed="false">
      <c r="B213" s="38" t="n">
        <v>201</v>
      </c>
      <c r="C213" s="27" t="n">
        <f aca="false">G212</f>
        <v>0</v>
      </c>
      <c r="D213" s="27" t="n">
        <f aca="false">E213+F213</f>
        <v>0</v>
      </c>
      <c r="E213" s="27" t="n">
        <f aca="false">IF(B213&lt;=$D$6,C213*$D$5/12,0)</f>
        <v>0</v>
      </c>
      <c r="F213" s="27" t="n">
        <f aca="false">IF(B213&lt;=$D$6,MIN($D$7-E213,C213),0)</f>
        <v>0</v>
      </c>
      <c r="G213" s="27" t="n">
        <f aca="false">C213-F213</f>
        <v>0</v>
      </c>
    </row>
    <row r="214" customFormat="false" ht="15" hidden="false" customHeight="false" outlineLevel="0" collapsed="false">
      <c r="B214" s="38" t="n">
        <v>202</v>
      </c>
      <c r="C214" s="27" t="n">
        <f aca="false">G213</f>
        <v>0</v>
      </c>
      <c r="D214" s="27" t="n">
        <f aca="false">E214+F214</f>
        <v>0</v>
      </c>
      <c r="E214" s="27" t="n">
        <f aca="false">IF(B214&lt;=$D$6,C214*$D$5/12,0)</f>
        <v>0</v>
      </c>
      <c r="F214" s="27" t="n">
        <f aca="false">IF(B214&lt;=$D$6,MIN($D$7-E214,C214),0)</f>
        <v>0</v>
      </c>
      <c r="G214" s="27" t="n">
        <f aca="false">C214-F214</f>
        <v>0</v>
      </c>
    </row>
    <row r="215" customFormat="false" ht="15" hidden="false" customHeight="false" outlineLevel="0" collapsed="false">
      <c r="B215" s="38" t="n">
        <v>203</v>
      </c>
      <c r="C215" s="27" t="n">
        <f aca="false">G214</f>
        <v>0</v>
      </c>
      <c r="D215" s="27" t="n">
        <f aca="false">E215+F215</f>
        <v>0</v>
      </c>
      <c r="E215" s="27" t="n">
        <f aca="false">IF(B215&lt;=$D$6,C215*$D$5/12,0)</f>
        <v>0</v>
      </c>
      <c r="F215" s="27" t="n">
        <f aca="false">IF(B215&lt;=$D$6,MIN($D$7-E215,C215),0)</f>
        <v>0</v>
      </c>
      <c r="G215" s="27" t="n">
        <f aca="false">C215-F215</f>
        <v>0</v>
      </c>
    </row>
    <row r="216" customFormat="false" ht="15" hidden="false" customHeight="false" outlineLevel="0" collapsed="false">
      <c r="B216" s="38" t="n">
        <v>204</v>
      </c>
      <c r="C216" s="27" t="n">
        <f aca="false">G215</f>
        <v>0</v>
      </c>
      <c r="D216" s="27" t="n">
        <f aca="false">E216+F216</f>
        <v>0</v>
      </c>
      <c r="E216" s="27" t="n">
        <f aca="false">IF(B216&lt;=$D$6,C216*$D$5/12,0)</f>
        <v>0</v>
      </c>
      <c r="F216" s="27" t="n">
        <f aca="false">IF(B216&lt;=$D$6,MIN($D$7-E216,C216),0)</f>
        <v>0</v>
      </c>
      <c r="G216" s="27" t="n">
        <f aca="false">C216-F216</f>
        <v>0</v>
      </c>
    </row>
    <row r="217" customFormat="false" ht="15" hidden="false" customHeight="false" outlineLevel="0" collapsed="false">
      <c r="B217" s="38" t="n">
        <v>205</v>
      </c>
      <c r="C217" s="27" t="n">
        <f aca="false">G216</f>
        <v>0</v>
      </c>
      <c r="D217" s="27" t="n">
        <f aca="false">E217+F217</f>
        <v>0</v>
      </c>
      <c r="E217" s="27" t="n">
        <f aca="false">IF(B217&lt;=$D$6,C217*$D$5/12,0)</f>
        <v>0</v>
      </c>
      <c r="F217" s="27" t="n">
        <f aca="false">IF(B217&lt;=$D$6,MIN($D$7-E217,C217),0)</f>
        <v>0</v>
      </c>
      <c r="G217" s="27" t="n">
        <f aca="false">C217-F217</f>
        <v>0</v>
      </c>
    </row>
    <row r="218" customFormat="false" ht="15" hidden="false" customHeight="false" outlineLevel="0" collapsed="false">
      <c r="B218" s="38" t="n">
        <v>206</v>
      </c>
      <c r="C218" s="27" t="n">
        <f aca="false">G217</f>
        <v>0</v>
      </c>
      <c r="D218" s="27" t="n">
        <f aca="false">E218+F218</f>
        <v>0</v>
      </c>
      <c r="E218" s="27" t="n">
        <f aca="false">IF(B218&lt;=$D$6,C218*$D$5/12,0)</f>
        <v>0</v>
      </c>
      <c r="F218" s="27" t="n">
        <f aca="false">IF(B218&lt;=$D$6,MIN($D$7-E218,C218),0)</f>
        <v>0</v>
      </c>
      <c r="G218" s="27" t="n">
        <f aca="false">C218-F218</f>
        <v>0</v>
      </c>
    </row>
    <row r="219" customFormat="false" ht="15" hidden="false" customHeight="false" outlineLevel="0" collapsed="false">
      <c r="B219" s="38" t="n">
        <v>207</v>
      </c>
      <c r="C219" s="27" t="n">
        <f aca="false">G218</f>
        <v>0</v>
      </c>
      <c r="D219" s="27" t="n">
        <f aca="false">E219+F219</f>
        <v>0</v>
      </c>
      <c r="E219" s="27" t="n">
        <f aca="false">IF(B219&lt;=$D$6,C219*$D$5/12,0)</f>
        <v>0</v>
      </c>
      <c r="F219" s="27" t="n">
        <f aca="false">IF(B219&lt;=$D$6,MIN($D$7-E219,C219),0)</f>
        <v>0</v>
      </c>
      <c r="G219" s="27" t="n">
        <f aca="false">C219-F219</f>
        <v>0</v>
      </c>
    </row>
    <row r="220" customFormat="false" ht="15" hidden="false" customHeight="false" outlineLevel="0" collapsed="false">
      <c r="B220" s="38" t="n">
        <v>208</v>
      </c>
      <c r="C220" s="27" t="n">
        <f aca="false">G219</f>
        <v>0</v>
      </c>
      <c r="D220" s="27" t="n">
        <f aca="false">E220+F220</f>
        <v>0</v>
      </c>
      <c r="E220" s="27" t="n">
        <f aca="false">IF(B220&lt;=$D$6,C220*$D$5/12,0)</f>
        <v>0</v>
      </c>
      <c r="F220" s="27" t="n">
        <f aca="false">IF(B220&lt;=$D$6,MIN($D$7-E220,C220),0)</f>
        <v>0</v>
      </c>
      <c r="G220" s="27" t="n">
        <f aca="false">C220-F220</f>
        <v>0</v>
      </c>
    </row>
    <row r="221" customFormat="false" ht="15" hidden="false" customHeight="false" outlineLevel="0" collapsed="false">
      <c r="B221" s="38" t="n">
        <v>209</v>
      </c>
      <c r="C221" s="27" t="n">
        <f aca="false">G220</f>
        <v>0</v>
      </c>
      <c r="D221" s="27" t="n">
        <f aca="false">E221+F221</f>
        <v>0</v>
      </c>
      <c r="E221" s="27" t="n">
        <f aca="false">IF(B221&lt;=$D$6,C221*$D$5/12,0)</f>
        <v>0</v>
      </c>
      <c r="F221" s="27" t="n">
        <f aca="false">IF(B221&lt;=$D$6,MIN($D$7-E221,C221),0)</f>
        <v>0</v>
      </c>
      <c r="G221" s="27" t="n">
        <f aca="false">C221-F221</f>
        <v>0</v>
      </c>
    </row>
    <row r="222" customFormat="false" ht="15" hidden="false" customHeight="false" outlineLevel="0" collapsed="false">
      <c r="B222" s="38" t="n">
        <v>210</v>
      </c>
      <c r="C222" s="27" t="n">
        <f aca="false">G221</f>
        <v>0</v>
      </c>
      <c r="D222" s="27" t="n">
        <f aca="false">E222+F222</f>
        <v>0</v>
      </c>
      <c r="E222" s="27" t="n">
        <f aca="false">IF(B222&lt;=$D$6,C222*$D$5/12,0)</f>
        <v>0</v>
      </c>
      <c r="F222" s="27" t="n">
        <f aca="false">IF(B222&lt;=$D$6,MIN($D$7-E222,C222),0)</f>
        <v>0</v>
      </c>
      <c r="G222" s="27" t="n">
        <f aca="false">C222-F222</f>
        <v>0</v>
      </c>
    </row>
    <row r="223" customFormat="false" ht="15" hidden="false" customHeight="false" outlineLevel="0" collapsed="false">
      <c r="B223" s="38" t="n">
        <v>211</v>
      </c>
      <c r="C223" s="27" t="n">
        <f aca="false">G222</f>
        <v>0</v>
      </c>
      <c r="D223" s="27" t="n">
        <f aca="false">E223+F223</f>
        <v>0</v>
      </c>
      <c r="E223" s="27" t="n">
        <f aca="false">IF(B223&lt;=$D$6,C223*$D$5/12,0)</f>
        <v>0</v>
      </c>
      <c r="F223" s="27" t="n">
        <f aca="false">IF(B223&lt;=$D$6,MIN($D$7-E223,C223),0)</f>
        <v>0</v>
      </c>
      <c r="G223" s="27" t="n">
        <f aca="false">C223-F223</f>
        <v>0</v>
      </c>
    </row>
    <row r="224" customFormat="false" ht="15" hidden="false" customHeight="false" outlineLevel="0" collapsed="false">
      <c r="B224" s="38" t="n">
        <v>212</v>
      </c>
      <c r="C224" s="27" t="n">
        <f aca="false">G223</f>
        <v>0</v>
      </c>
      <c r="D224" s="27" t="n">
        <f aca="false">E224+F224</f>
        <v>0</v>
      </c>
      <c r="E224" s="27" t="n">
        <f aca="false">IF(B224&lt;=$D$6,C224*$D$5/12,0)</f>
        <v>0</v>
      </c>
      <c r="F224" s="27" t="n">
        <f aca="false">IF(B224&lt;=$D$6,MIN($D$7-E224,C224),0)</f>
        <v>0</v>
      </c>
      <c r="G224" s="27" t="n">
        <f aca="false">C224-F224</f>
        <v>0</v>
      </c>
    </row>
    <row r="225" customFormat="false" ht="15" hidden="false" customHeight="false" outlineLevel="0" collapsed="false">
      <c r="B225" s="38" t="n">
        <v>213</v>
      </c>
      <c r="C225" s="27" t="n">
        <f aca="false">G224</f>
        <v>0</v>
      </c>
      <c r="D225" s="27" t="n">
        <f aca="false">E225+F225</f>
        <v>0</v>
      </c>
      <c r="E225" s="27" t="n">
        <f aca="false">IF(B225&lt;=$D$6,C225*$D$5/12,0)</f>
        <v>0</v>
      </c>
      <c r="F225" s="27" t="n">
        <f aca="false">IF(B225&lt;=$D$6,MIN($D$7-E225,C225),0)</f>
        <v>0</v>
      </c>
      <c r="G225" s="27" t="n">
        <f aca="false">C225-F225</f>
        <v>0</v>
      </c>
    </row>
    <row r="226" customFormat="false" ht="15" hidden="false" customHeight="false" outlineLevel="0" collapsed="false">
      <c r="B226" s="38" t="n">
        <v>214</v>
      </c>
      <c r="C226" s="27" t="n">
        <f aca="false">G225</f>
        <v>0</v>
      </c>
      <c r="D226" s="27" t="n">
        <f aca="false">E226+F226</f>
        <v>0</v>
      </c>
      <c r="E226" s="27" t="n">
        <f aca="false">IF(B226&lt;=$D$6,C226*$D$5/12,0)</f>
        <v>0</v>
      </c>
      <c r="F226" s="27" t="n">
        <f aca="false">IF(B226&lt;=$D$6,MIN($D$7-E226,C226),0)</f>
        <v>0</v>
      </c>
      <c r="G226" s="27" t="n">
        <f aca="false">C226-F226</f>
        <v>0</v>
      </c>
    </row>
    <row r="227" customFormat="false" ht="15" hidden="false" customHeight="false" outlineLevel="0" collapsed="false">
      <c r="B227" s="38" t="n">
        <v>215</v>
      </c>
      <c r="C227" s="27" t="n">
        <f aca="false">G226</f>
        <v>0</v>
      </c>
      <c r="D227" s="27" t="n">
        <f aca="false">E227+F227</f>
        <v>0</v>
      </c>
      <c r="E227" s="27" t="n">
        <f aca="false">IF(B227&lt;=$D$6,C227*$D$5/12,0)</f>
        <v>0</v>
      </c>
      <c r="F227" s="27" t="n">
        <f aca="false">IF(B227&lt;=$D$6,MIN($D$7-E227,C227),0)</f>
        <v>0</v>
      </c>
      <c r="G227" s="27" t="n">
        <f aca="false">C227-F227</f>
        <v>0</v>
      </c>
    </row>
    <row r="228" customFormat="false" ht="15" hidden="false" customHeight="false" outlineLevel="0" collapsed="false">
      <c r="B228" s="38" t="n">
        <v>216</v>
      </c>
      <c r="C228" s="27" t="n">
        <f aca="false">G227</f>
        <v>0</v>
      </c>
      <c r="D228" s="27" t="n">
        <f aca="false">E228+F228</f>
        <v>0</v>
      </c>
      <c r="E228" s="27" t="n">
        <f aca="false">IF(B228&lt;=$D$6,C228*$D$5/12,0)</f>
        <v>0</v>
      </c>
      <c r="F228" s="27" t="n">
        <f aca="false">IF(B228&lt;=$D$6,MIN($D$7-E228,C228),0)</f>
        <v>0</v>
      </c>
      <c r="G228" s="27" t="n">
        <f aca="false">C228-F228</f>
        <v>0</v>
      </c>
    </row>
    <row r="229" customFormat="false" ht="15" hidden="false" customHeight="false" outlineLevel="0" collapsed="false">
      <c r="B229" s="38" t="n">
        <v>217</v>
      </c>
      <c r="C229" s="27" t="n">
        <f aca="false">G228</f>
        <v>0</v>
      </c>
      <c r="D229" s="27" t="n">
        <f aca="false">E229+F229</f>
        <v>0</v>
      </c>
      <c r="E229" s="27" t="n">
        <f aca="false">IF(B229&lt;=$D$6,C229*$D$5/12,0)</f>
        <v>0</v>
      </c>
      <c r="F229" s="27" t="n">
        <f aca="false">IF(B229&lt;=$D$6,MIN($D$7-E229,C229),0)</f>
        <v>0</v>
      </c>
      <c r="G229" s="27" t="n">
        <f aca="false">C229-F229</f>
        <v>0</v>
      </c>
    </row>
    <row r="230" customFormat="false" ht="15" hidden="false" customHeight="false" outlineLevel="0" collapsed="false">
      <c r="B230" s="38" t="n">
        <v>218</v>
      </c>
      <c r="C230" s="27" t="n">
        <f aca="false">G229</f>
        <v>0</v>
      </c>
      <c r="D230" s="27" t="n">
        <f aca="false">E230+F230</f>
        <v>0</v>
      </c>
      <c r="E230" s="27" t="n">
        <f aca="false">IF(B230&lt;=$D$6,C230*$D$5/12,0)</f>
        <v>0</v>
      </c>
      <c r="F230" s="27" t="n">
        <f aca="false">IF(B230&lt;=$D$6,MIN($D$7-E230,C230),0)</f>
        <v>0</v>
      </c>
      <c r="G230" s="27" t="n">
        <f aca="false">C230-F230</f>
        <v>0</v>
      </c>
    </row>
    <row r="231" customFormat="false" ht="15" hidden="false" customHeight="false" outlineLevel="0" collapsed="false">
      <c r="B231" s="38" t="n">
        <v>219</v>
      </c>
      <c r="C231" s="27" t="n">
        <f aca="false">G230</f>
        <v>0</v>
      </c>
      <c r="D231" s="27" t="n">
        <f aca="false">E231+F231</f>
        <v>0</v>
      </c>
      <c r="E231" s="27" t="n">
        <f aca="false">IF(B231&lt;=$D$6,C231*$D$5/12,0)</f>
        <v>0</v>
      </c>
      <c r="F231" s="27" t="n">
        <f aca="false">IF(B231&lt;=$D$6,MIN($D$7-E231,C231),0)</f>
        <v>0</v>
      </c>
      <c r="G231" s="27" t="n">
        <f aca="false">C231-F231</f>
        <v>0</v>
      </c>
    </row>
    <row r="232" customFormat="false" ht="15" hidden="false" customHeight="false" outlineLevel="0" collapsed="false">
      <c r="B232" s="38" t="n">
        <v>220</v>
      </c>
      <c r="C232" s="27" t="n">
        <f aca="false">G231</f>
        <v>0</v>
      </c>
      <c r="D232" s="27" t="n">
        <f aca="false">E232+F232</f>
        <v>0</v>
      </c>
      <c r="E232" s="27" t="n">
        <f aca="false">IF(B232&lt;=$D$6,C232*$D$5/12,0)</f>
        <v>0</v>
      </c>
      <c r="F232" s="27" t="n">
        <f aca="false">IF(B232&lt;=$D$6,MIN($D$7-E232,C232),0)</f>
        <v>0</v>
      </c>
      <c r="G232" s="27" t="n">
        <f aca="false">C232-F232</f>
        <v>0</v>
      </c>
    </row>
    <row r="233" customFormat="false" ht="15" hidden="false" customHeight="false" outlineLevel="0" collapsed="false">
      <c r="B233" s="38" t="n">
        <v>221</v>
      </c>
      <c r="C233" s="27" t="n">
        <f aca="false">G232</f>
        <v>0</v>
      </c>
      <c r="D233" s="27" t="n">
        <f aca="false">E233+F233</f>
        <v>0</v>
      </c>
      <c r="E233" s="27" t="n">
        <f aca="false">IF(B233&lt;=$D$6,C233*$D$5/12,0)</f>
        <v>0</v>
      </c>
      <c r="F233" s="27" t="n">
        <f aca="false">IF(B233&lt;=$D$6,MIN($D$7-E233,C233),0)</f>
        <v>0</v>
      </c>
      <c r="G233" s="27" t="n">
        <f aca="false">C233-F233</f>
        <v>0</v>
      </c>
    </row>
    <row r="234" customFormat="false" ht="15" hidden="false" customHeight="false" outlineLevel="0" collapsed="false">
      <c r="B234" s="38" t="n">
        <v>222</v>
      </c>
      <c r="C234" s="27" t="n">
        <f aca="false">G233</f>
        <v>0</v>
      </c>
      <c r="D234" s="27" t="n">
        <f aca="false">E234+F234</f>
        <v>0</v>
      </c>
      <c r="E234" s="27" t="n">
        <f aca="false">IF(B234&lt;=$D$6,C234*$D$5/12,0)</f>
        <v>0</v>
      </c>
      <c r="F234" s="27" t="n">
        <f aca="false">IF(B234&lt;=$D$6,MIN($D$7-E234,C234),0)</f>
        <v>0</v>
      </c>
      <c r="G234" s="27" t="n">
        <f aca="false">C234-F234</f>
        <v>0</v>
      </c>
    </row>
    <row r="235" customFormat="false" ht="15" hidden="false" customHeight="false" outlineLevel="0" collapsed="false">
      <c r="B235" s="38" t="n">
        <v>223</v>
      </c>
      <c r="C235" s="27" t="n">
        <f aca="false">G234</f>
        <v>0</v>
      </c>
      <c r="D235" s="27" t="n">
        <f aca="false">E235+F235</f>
        <v>0</v>
      </c>
      <c r="E235" s="27" t="n">
        <f aca="false">IF(B235&lt;=$D$6,C235*$D$5/12,0)</f>
        <v>0</v>
      </c>
      <c r="F235" s="27" t="n">
        <f aca="false">IF(B235&lt;=$D$6,MIN($D$7-E235,C235),0)</f>
        <v>0</v>
      </c>
      <c r="G235" s="27" t="n">
        <f aca="false">C235-F235</f>
        <v>0</v>
      </c>
    </row>
    <row r="236" customFormat="false" ht="15" hidden="false" customHeight="false" outlineLevel="0" collapsed="false">
      <c r="B236" s="38" t="n">
        <v>224</v>
      </c>
      <c r="C236" s="27" t="n">
        <f aca="false">G235</f>
        <v>0</v>
      </c>
      <c r="D236" s="27" t="n">
        <f aca="false">E236+F236</f>
        <v>0</v>
      </c>
      <c r="E236" s="27" t="n">
        <f aca="false">IF(B236&lt;=$D$6,C236*$D$5/12,0)</f>
        <v>0</v>
      </c>
      <c r="F236" s="27" t="n">
        <f aca="false">IF(B236&lt;=$D$6,MIN($D$7-E236,C236),0)</f>
        <v>0</v>
      </c>
      <c r="G236" s="27" t="n">
        <f aca="false">C236-F236</f>
        <v>0</v>
      </c>
    </row>
    <row r="237" customFormat="false" ht="15" hidden="false" customHeight="false" outlineLevel="0" collapsed="false">
      <c r="B237" s="38" t="n">
        <v>225</v>
      </c>
      <c r="C237" s="27" t="n">
        <f aca="false">G236</f>
        <v>0</v>
      </c>
      <c r="D237" s="27" t="n">
        <f aca="false">E237+F237</f>
        <v>0</v>
      </c>
      <c r="E237" s="27" t="n">
        <f aca="false">IF(B237&lt;=$D$6,C237*$D$5/12,0)</f>
        <v>0</v>
      </c>
      <c r="F237" s="27" t="n">
        <f aca="false">IF(B237&lt;=$D$6,MIN($D$7-E237,C237),0)</f>
        <v>0</v>
      </c>
      <c r="G237" s="27" t="n">
        <f aca="false">C237-F237</f>
        <v>0</v>
      </c>
    </row>
    <row r="238" customFormat="false" ht="15" hidden="false" customHeight="false" outlineLevel="0" collapsed="false">
      <c r="B238" s="38" t="n">
        <v>226</v>
      </c>
      <c r="C238" s="27" t="n">
        <f aca="false">G237</f>
        <v>0</v>
      </c>
      <c r="D238" s="27" t="n">
        <f aca="false">E238+F238</f>
        <v>0</v>
      </c>
      <c r="E238" s="27" t="n">
        <f aca="false">IF(B238&lt;=$D$6,C238*$D$5/12,0)</f>
        <v>0</v>
      </c>
      <c r="F238" s="27" t="n">
        <f aca="false">IF(B238&lt;=$D$6,MIN($D$7-E238,C238),0)</f>
        <v>0</v>
      </c>
      <c r="G238" s="27" t="n">
        <f aca="false">C238-F238</f>
        <v>0</v>
      </c>
    </row>
    <row r="239" customFormat="false" ht="15" hidden="false" customHeight="false" outlineLevel="0" collapsed="false">
      <c r="B239" s="38" t="n">
        <v>227</v>
      </c>
      <c r="C239" s="27" t="n">
        <f aca="false">G238</f>
        <v>0</v>
      </c>
      <c r="D239" s="27" t="n">
        <f aca="false">E239+F239</f>
        <v>0</v>
      </c>
      <c r="E239" s="27" t="n">
        <f aca="false">IF(B239&lt;=$D$6,C239*$D$5/12,0)</f>
        <v>0</v>
      </c>
      <c r="F239" s="27" t="n">
        <f aca="false">IF(B239&lt;=$D$6,MIN($D$7-E239,C239),0)</f>
        <v>0</v>
      </c>
      <c r="G239" s="27" t="n">
        <f aca="false">C239-F239</f>
        <v>0</v>
      </c>
    </row>
    <row r="240" customFormat="false" ht="15" hidden="false" customHeight="false" outlineLevel="0" collapsed="false">
      <c r="B240" s="38" t="n">
        <v>228</v>
      </c>
      <c r="C240" s="27" t="n">
        <f aca="false">G239</f>
        <v>0</v>
      </c>
      <c r="D240" s="27" t="n">
        <f aca="false">E240+F240</f>
        <v>0</v>
      </c>
      <c r="E240" s="27" t="n">
        <f aca="false">IF(B240&lt;=$D$6,C240*$D$5/12,0)</f>
        <v>0</v>
      </c>
      <c r="F240" s="27" t="n">
        <f aca="false">IF(B240&lt;=$D$6,MIN($D$7-E240,C240),0)</f>
        <v>0</v>
      </c>
      <c r="G240" s="27" t="n">
        <f aca="false">C240-F240</f>
        <v>0</v>
      </c>
    </row>
    <row r="241" customFormat="false" ht="15" hidden="false" customHeight="false" outlineLevel="0" collapsed="false">
      <c r="B241" s="38" t="n">
        <v>229</v>
      </c>
      <c r="C241" s="27" t="n">
        <f aca="false">G240</f>
        <v>0</v>
      </c>
      <c r="D241" s="27" t="n">
        <f aca="false">E241+F241</f>
        <v>0</v>
      </c>
      <c r="E241" s="27" t="n">
        <f aca="false">IF(B241&lt;=$D$6,C241*$D$5/12,0)</f>
        <v>0</v>
      </c>
      <c r="F241" s="27" t="n">
        <f aca="false">IF(B241&lt;=$D$6,MIN($D$7-E241,C241),0)</f>
        <v>0</v>
      </c>
      <c r="G241" s="27" t="n">
        <f aca="false">C241-F241</f>
        <v>0</v>
      </c>
    </row>
    <row r="242" customFormat="false" ht="15" hidden="false" customHeight="false" outlineLevel="0" collapsed="false">
      <c r="B242" s="38" t="n">
        <v>230</v>
      </c>
      <c r="C242" s="27" t="n">
        <f aca="false">G241</f>
        <v>0</v>
      </c>
      <c r="D242" s="27" t="n">
        <f aca="false">E242+F242</f>
        <v>0</v>
      </c>
      <c r="E242" s="27" t="n">
        <f aca="false">IF(B242&lt;=$D$6,C242*$D$5/12,0)</f>
        <v>0</v>
      </c>
      <c r="F242" s="27" t="n">
        <f aca="false">IF(B242&lt;=$D$6,MIN($D$7-E242,C242),0)</f>
        <v>0</v>
      </c>
      <c r="G242" s="27" t="n">
        <f aca="false">C242-F242</f>
        <v>0</v>
      </c>
    </row>
    <row r="243" customFormat="false" ht="15" hidden="false" customHeight="false" outlineLevel="0" collapsed="false">
      <c r="B243" s="38" t="n">
        <v>231</v>
      </c>
      <c r="C243" s="27" t="n">
        <f aca="false">G242</f>
        <v>0</v>
      </c>
      <c r="D243" s="27" t="n">
        <f aca="false">E243+F243</f>
        <v>0</v>
      </c>
      <c r="E243" s="27" t="n">
        <f aca="false">IF(B243&lt;=$D$6,C243*$D$5/12,0)</f>
        <v>0</v>
      </c>
      <c r="F243" s="27" t="n">
        <f aca="false">IF(B243&lt;=$D$6,MIN($D$7-E243,C243),0)</f>
        <v>0</v>
      </c>
      <c r="G243" s="27" t="n">
        <f aca="false">C243-F243</f>
        <v>0</v>
      </c>
    </row>
    <row r="244" customFormat="false" ht="15" hidden="false" customHeight="false" outlineLevel="0" collapsed="false">
      <c r="B244" s="38" t="n">
        <v>232</v>
      </c>
      <c r="C244" s="27" t="n">
        <f aca="false">G243</f>
        <v>0</v>
      </c>
      <c r="D244" s="27" t="n">
        <f aca="false">E244+F244</f>
        <v>0</v>
      </c>
      <c r="E244" s="27" t="n">
        <f aca="false">IF(B244&lt;=$D$6,C244*$D$5/12,0)</f>
        <v>0</v>
      </c>
      <c r="F244" s="27" t="n">
        <f aca="false">IF(B244&lt;=$D$6,MIN($D$7-E244,C244),0)</f>
        <v>0</v>
      </c>
      <c r="G244" s="27" t="n">
        <f aca="false">C244-F244</f>
        <v>0</v>
      </c>
    </row>
    <row r="245" customFormat="false" ht="15" hidden="false" customHeight="false" outlineLevel="0" collapsed="false">
      <c r="B245" s="38" t="n">
        <v>233</v>
      </c>
      <c r="C245" s="27" t="n">
        <f aca="false">G244</f>
        <v>0</v>
      </c>
      <c r="D245" s="27" t="n">
        <f aca="false">E245+F245</f>
        <v>0</v>
      </c>
      <c r="E245" s="27" t="n">
        <f aca="false">IF(B245&lt;=$D$6,C245*$D$5/12,0)</f>
        <v>0</v>
      </c>
      <c r="F245" s="27" t="n">
        <f aca="false">IF(B245&lt;=$D$6,MIN($D$7-E245,C245),0)</f>
        <v>0</v>
      </c>
      <c r="G245" s="27" t="n">
        <f aca="false">C245-F245</f>
        <v>0</v>
      </c>
    </row>
    <row r="246" customFormat="false" ht="15" hidden="false" customHeight="false" outlineLevel="0" collapsed="false">
      <c r="B246" s="38" t="n">
        <v>234</v>
      </c>
      <c r="C246" s="27" t="n">
        <f aca="false">G245</f>
        <v>0</v>
      </c>
      <c r="D246" s="27" t="n">
        <f aca="false">E246+F246</f>
        <v>0</v>
      </c>
      <c r="E246" s="27" t="n">
        <f aca="false">IF(B246&lt;=$D$6,C246*$D$5/12,0)</f>
        <v>0</v>
      </c>
      <c r="F246" s="27" t="n">
        <f aca="false">IF(B246&lt;=$D$6,MIN($D$7-E246,C246),0)</f>
        <v>0</v>
      </c>
      <c r="G246" s="27" t="n">
        <f aca="false">C246-F246</f>
        <v>0</v>
      </c>
    </row>
    <row r="247" customFormat="false" ht="15" hidden="false" customHeight="false" outlineLevel="0" collapsed="false">
      <c r="B247" s="38" t="n">
        <v>235</v>
      </c>
      <c r="C247" s="27" t="n">
        <f aca="false">G246</f>
        <v>0</v>
      </c>
      <c r="D247" s="27" t="n">
        <f aca="false">E247+F247</f>
        <v>0</v>
      </c>
      <c r="E247" s="27" t="n">
        <f aca="false">IF(B247&lt;=$D$6,C247*$D$5/12,0)</f>
        <v>0</v>
      </c>
      <c r="F247" s="27" t="n">
        <f aca="false">IF(B247&lt;=$D$6,MIN($D$7-E247,C247),0)</f>
        <v>0</v>
      </c>
      <c r="G247" s="27" t="n">
        <f aca="false">C247-F247</f>
        <v>0</v>
      </c>
    </row>
    <row r="248" customFormat="false" ht="15" hidden="false" customHeight="false" outlineLevel="0" collapsed="false">
      <c r="B248" s="38" t="n">
        <v>236</v>
      </c>
      <c r="C248" s="27" t="n">
        <f aca="false">G247</f>
        <v>0</v>
      </c>
      <c r="D248" s="27" t="n">
        <f aca="false">E248+F248</f>
        <v>0</v>
      </c>
      <c r="E248" s="27" t="n">
        <f aca="false">IF(B248&lt;=$D$6,C248*$D$5/12,0)</f>
        <v>0</v>
      </c>
      <c r="F248" s="27" t="n">
        <f aca="false">IF(B248&lt;=$D$6,MIN($D$7-E248,C248),0)</f>
        <v>0</v>
      </c>
      <c r="G248" s="27" t="n">
        <f aca="false">C248-F248</f>
        <v>0</v>
      </c>
    </row>
    <row r="249" customFormat="false" ht="15" hidden="false" customHeight="false" outlineLevel="0" collapsed="false">
      <c r="B249" s="38" t="n">
        <v>237</v>
      </c>
      <c r="C249" s="27" t="n">
        <f aca="false">G248</f>
        <v>0</v>
      </c>
      <c r="D249" s="27" t="n">
        <f aca="false">E249+F249</f>
        <v>0</v>
      </c>
      <c r="E249" s="27" t="n">
        <f aca="false">IF(B249&lt;=$D$6,C249*$D$5/12,0)</f>
        <v>0</v>
      </c>
      <c r="F249" s="27" t="n">
        <f aca="false">IF(B249&lt;=$D$6,MIN($D$7-E249,C249),0)</f>
        <v>0</v>
      </c>
      <c r="G249" s="27" t="n">
        <f aca="false">C249-F249</f>
        <v>0</v>
      </c>
    </row>
    <row r="250" customFormat="false" ht="15" hidden="false" customHeight="false" outlineLevel="0" collapsed="false">
      <c r="B250" s="38" t="n">
        <v>238</v>
      </c>
      <c r="C250" s="27" t="n">
        <f aca="false">G249</f>
        <v>0</v>
      </c>
      <c r="D250" s="27" t="n">
        <f aca="false">E250+F250</f>
        <v>0</v>
      </c>
      <c r="E250" s="27" t="n">
        <f aca="false">IF(B250&lt;=$D$6,C250*$D$5/12,0)</f>
        <v>0</v>
      </c>
      <c r="F250" s="27" t="n">
        <f aca="false">IF(B250&lt;=$D$6,MIN($D$7-E250,C250),0)</f>
        <v>0</v>
      </c>
      <c r="G250" s="27" t="n">
        <f aca="false">C250-F250</f>
        <v>0</v>
      </c>
    </row>
    <row r="251" customFormat="false" ht="15" hidden="false" customHeight="false" outlineLevel="0" collapsed="false">
      <c r="B251" s="38" t="n">
        <v>239</v>
      </c>
      <c r="C251" s="27" t="n">
        <f aca="false">G250</f>
        <v>0</v>
      </c>
      <c r="D251" s="27" t="n">
        <f aca="false">E251+F251</f>
        <v>0</v>
      </c>
      <c r="E251" s="27" t="n">
        <f aca="false">IF(B251&lt;=$D$6,C251*$D$5/12,0)</f>
        <v>0</v>
      </c>
      <c r="F251" s="27" t="n">
        <f aca="false">IF(B251&lt;=$D$6,MIN($D$7-E251,C251),0)</f>
        <v>0</v>
      </c>
      <c r="G251" s="27" t="n">
        <f aca="false">C251-F251</f>
        <v>0</v>
      </c>
    </row>
    <row r="252" customFormat="false" ht="15" hidden="false" customHeight="false" outlineLevel="0" collapsed="false">
      <c r="B252" s="38" t="n">
        <v>240</v>
      </c>
      <c r="C252" s="27" t="n">
        <f aca="false">G251</f>
        <v>0</v>
      </c>
      <c r="D252" s="27" t="n">
        <f aca="false">E252+F252</f>
        <v>0</v>
      </c>
      <c r="E252" s="27" t="n">
        <f aca="false">IF(B252&lt;=$D$6,C252*$D$5/12,0)</f>
        <v>0</v>
      </c>
      <c r="F252" s="27" t="n">
        <f aca="false">IF(B252&lt;=$D$6,MIN($D$7-E252,C252),0)</f>
        <v>0</v>
      </c>
      <c r="G252" s="27" t="n">
        <f aca="false">C252-F252</f>
        <v>0</v>
      </c>
    </row>
    <row r="253" customFormat="false" ht="15" hidden="false" customHeight="false" outlineLevel="0" collapsed="false">
      <c r="B253" s="38" t="n">
        <v>241</v>
      </c>
      <c r="C253" s="27" t="n">
        <f aca="false">G252</f>
        <v>0</v>
      </c>
      <c r="D253" s="27" t="n">
        <f aca="false">E253+F253</f>
        <v>0</v>
      </c>
      <c r="E253" s="27" t="n">
        <f aca="false">IF(B253&lt;=$D$6,C253*$D$5/12,0)</f>
        <v>0</v>
      </c>
      <c r="F253" s="27" t="n">
        <f aca="false">IF(B253&lt;=$D$6,MIN($D$7-E253,C253),0)</f>
        <v>0</v>
      </c>
      <c r="G253" s="27" t="n">
        <f aca="false">C253-F253</f>
        <v>0</v>
      </c>
    </row>
    <row r="254" customFormat="false" ht="15" hidden="false" customHeight="false" outlineLevel="0" collapsed="false">
      <c r="B254" s="38" t="n">
        <v>242</v>
      </c>
      <c r="C254" s="27" t="n">
        <f aca="false">G253</f>
        <v>0</v>
      </c>
      <c r="D254" s="27" t="n">
        <f aca="false">E254+F254</f>
        <v>0</v>
      </c>
      <c r="E254" s="27" t="n">
        <f aca="false">IF(B254&lt;=$D$6,C254*$D$5/12,0)</f>
        <v>0</v>
      </c>
      <c r="F254" s="27" t="n">
        <f aca="false">IF(B254&lt;=$D$6,MIN($D$7-E254,C254),0)</f>
        <v>0</v>
      </c>
      <c r="G254" s="27" t="n">
        <f aca="false">C254-F254</f>
        <v>0</v>
      </c>
    </row>
    <row r="255" customFormat="false" ht="15" hidden="false" customHeight="false" outlineLevel="0" collapsed="false">
      <c r="B255" s="38" t="n">
        <v>243</v>
      </c>
      <c r="C255" s="27" t="n">
        <f aca="false">G254</f>
        <v>0</v>
      </c>
      <c r="D255" s="27" t="n">
        <f aca="false">E255+F255</f>
        <v>0</v>
      </c>
      <c r="E255" s="27" t="n">
        <f aca="false">IF(B255&lt;=$D$6,C255*$D$5/12,0)</f>
        <v>0</v>
      </c>
      <c r="F255" s="27" t="n">
        <f aca="false">IF(B255&lt;=$D$6,MIN($D$7-E255,C255),0)</f>
        <v>0</v>
      </c>
      <c r="G255" s="27" t="n">
        <f aca="false">C255-F255</f>
        <v>0</v>
      </c>
    </row>
    <row r="256" customFormat="false" ht="15" hidden="false" customHeight="false" outlineLevel="0" collapsed="false">
      <c r="B256" s="38" t="n">
        <v>244</v>
      </c>
      <c r="C256" s="27" t="n">
        <f aca="false">G255</f>
        <v>0</v>
      </c>
      <c r="D256" s="27" t="n">
        <f aca="false">E256+F256</f>
        <v>0</v>
      </c>
      <c r="E256" s="27" t="n">
        <f aca="false">IF(B256&lt;=$D$6,C256*$D$5/12,0)</f>
        <v>0</v>
      </c>
      <c r="F256" s="27" t="n">
        <f aca="false">IF(B256&lt;=$D$6,MIN($D$7-E256,C256),0)</f>
        <v>0</v>
      </c>
      <c r="G256" s="27" t="n">
        <f aca="false">C256-F256</f>
        <v>0</v>
      </c>
    </row>
    <row r="257" customFormat="false" ht="15" hidden="false" customHeight="false" outlineLevel="0" collapsed="false">
      <c r="B257" s="38" t="n">
        <v>245</v>
      </c>
      <c r="C257" s="27" t="n">
        <f aca="false">G256</f>
        <v>0</v>
      </c>
      <c r="D257" s="27" t="n">
        <f aca="false">E257+F257</f>
        <v>0</v>
      </c>
      <c r="E257" s="27" t="n">
        <f aca="false">IF(B257&lt;=$D$6,C257*$D$5/12,0)</f>
        <v>0</v>
      </c>
      <c r="F257" s="27" t="n">
        <f aca="false">IF(B257&lt;=$D$6,MIN($D$7-E257,C257),0)</f>
        <v>0</v>
      </c>
      <c r="G257" s="27" t="n">
        <f aca="false">C257-F257</f>
        <v>0</v>
      </c>
    </row>
    <row r="258" customFormat="false" ht="15" hidden="false" customHeight="false" outlineLevel="0" collapsed="false">
      <c r="B258" s="38" t="n">
        <v>246</v>
      </c>
      <c r="C258" s="27" t="n">
        <f aca="false">G257</f>
        <v>0</v>
      </c>
      <c r="D258" s="27" t="n">
        <f aca="false">E258+F258</f>
        <v>0</v>
      </c>
      <c r="E258" s="27" t="n">
        <f aca="false">IF(B258&lt;=$D$6,C258*$D$5/12,0)</f>
        <v>0</v>
      </c>
      <c r="F258" s="27" t="n">
        <f aca="false">IF(B258&lt;=$D$6,MIN($D$7-E258,C258),0)</f>
        <v>0</v>
      </c>
      <c r="G258" s="27" t="n">
        <f aca="false">C258-F258</f>
        <v>0</v>
      </c>
    </row>
    <row r="259" customFormat="false" ht="15" hidden="false" customHeight="false" outlineLevel="0" collapsed="false">
      <c r="B259" s="38" t="n">
        <v>247</v>
      </c>
      <c r="C259" s="27" t="n">
        <f aca="false">G258</f>
        <v>0</v>
      </c>
      <c r="D259" s="27" t="n">
        <f aca="false">E259+F259</f>
        <v>0</v>
      </c>
      <c r="E259" s="27" t="n">
        <f aca="false">IF(B259&lt;=$D$6,C259*$D$5/12,0)</f>
        <v>0</v>
      </c>
      <c r="F259" s="27" t="n">
        <f aca="false">IF(B259&lt;=$D$6,MIN($D$7-E259,C259),0)</f>
        <v>0</v>
      </c>
      <c r="G259" s="27" t="n">
        <f aca="false">C259-F259</f>
        <v>0</v>
      </c>
    </row>
    <row r="260" customFormat="false" ht="15" hidden="false" customHeight="false" outlineLevel="0" collapsed="false">
      <c r="B260" s="38" t="n">
        <v>248</v>
      </c>
      <c r="C260" s="27" t="n">
        <f aca="false">G259</f>
        <v>0</v>
      </c>
      <c r="D260" s="27" t="n">
        <f aca="false">E260+F260</f>
        <v>0</v>
      </c>
      <c r="E260" s="27" t="n">
        <f aca="false">IF(B260&lt;=$D$6,C260*$D$5/12,0)</f>
        <v>0</v>
      </c>
      <c r="F260" s="27" t="n">
        <f aca="false">IF(B260&lt;=$D$6,MIN($D$7-E260,C260),0)</f>
        <v>0</v>
      </c>
      <c r="G260" s="27" t="n">
        <f aca="false">C260-F260</f>
        <v>0</v>
      </c>
    </row>
    <row r="261" customFormat="false" ht="15" hidden="false" customHeight="false" outlineLevel="0" collapsed="false">
      <c r="B261" s="38" t="n">
        <v>249</v>
      </c>
      <c r="C261" s="27" t="n">
        <f aca="false">G260</f>
        <v>0</v>
      </c>
      <c r="D261" s="27" t="n">
        <f aca="false">E261+F261</f>
        <v>0</v>
      </c>
      <c r="E261" s="27" t="n">
        <f aca="false">IF(B261&lt;=$D$6,C261*$D$5/12,0)</f>
        <v>0</v>
      </c>
      <c r="F261" s="27" t="n">
        <f aca="false">IF(B261&lt;=$D$6,MIN($D$7-E261,C261),0)</f>
        <v>0</v>
      </c>
      <c r="G261" s="27" t="n">
        <f aca="false">C261-F261</f>
        <v>0</v>
      </c>
    </row>
    <row r="262" customFormat="false" ht="15" hidden="false" customHeight="false" outlineLevel="0" collapsed="false">
      <c r="B262" s="38" t="n">
        <v>250</v>
      </c>
      <c r="C262" s="27" t="n">
        <f aca="false">G261</f>
        <v>0</v>
      </c>
      <c r="D262" s="27" t="n">
        <f aca="false">E262+F262</f>
        <v>0</v>
      </c>
      <c r="E262" s="27" t="n">
        <f aca="false">IF(B262&lt;=$D$6,C262*$D$5/12,0)</f>
        <v>0</v>
      </c>
      <c r="F262" s="27" t="n">
        <f aca="false">IF(B262&lt;=$D$6,MIN($D$7-E262,C262),0)</f>
        <v>0</v>
      </c>
      <c r="G262" s="27" t="n">
        <f aca="false">C262-F262</f>
        <v>0</v>
      </c>
    </row>
    <row r="263" customFormat="false" ht="15" hidden="false" customHeight="false" outlineLevel="0" collapsed="false">
      <c r="B263" s="38" t="n">
        <v>251</v>
      </c>
      <c r="C263" s="27" t="n">
        <f aca="false">G262</f>
        <v>0</v>
      </c>
      <c r="D263" s="27" t="n">
        <f aca="false">E263+F263</f>
        <v>0</v>
      </c>
      <c r="E263" s="27" t="n">
        <f aca="false">IF(B263&lt;=$D$6,C263*$D$5/12,0)</f>
        <v>0</v>
      </c>
      <c r="F263" s="27" t="n">
        <f aca="false">IF(B263&lt;=$D$6,MIN($D$7-E263,C263),0)</f>
        <v>0</v>
      </c>
      <c r="G263" s="27" t="n">
        <f aca="false">C263-F263</f>
        <v>0</v>
      </c>
    </row>
    <row r="264" customFormat="false" ht="15" hidden="false" customHeight="false" outlineLevel="0" collapsed="false">
      <c r="B264" s="38" t="n">
        <v>252</v>
      </c>
      <c r="C264" s="27" t="n">
        <f aca="false">G263</f>
        <v>0</v>
      </c>
      <c r="D264" s="27" t="n">
        <f aca="false">E264+F264</f>
        <v>0</v>
      </c>
      <c r="E264" s="27" t="n">
        <f aca="false">IF(B264&lt;=$D$6,C264*$D$5/12,0)</f>
        <v>0</v>
      </c>
      <c r="F264" s="27" t="n">
        <f aca="false">IF(B264&lt;=$D$6,MIN($D$7-E264,C264),0)</f>
        <v>0</v>
      </c>
      <c r="G264" s="27" t="n">
        <f aca="false">C264-F264</f>
        <v>0</v>
      </c>
    </row>
    <row r="265" customFormat="false" ht="15" hidden="false" customHeight="false" outlineLevel="0" collapsed="false">
      <c r="B265" s="38" t="n">
        <v>253</v>
      </c>
      <c r="C265" s="27" t="n">
        <f aca="false">G264</f>
        <v>0</v>
      </c>
      <c r="D265" s="27" t="n">
        <f aca="false">E265+F265</f>
        <v>0</v>
      </c>
      <c r="E265" s="27" t="n">
        <f aca="false">IF(B265&lt;=$D$6,C265*$D$5/12,0)</f>
        <v>0</v>
      </c>
      <c r="F265" s="27" t="n">
        <f aca="false">IF(B265&lt;=$D$6,MIN($D$7-E265,C265),0)</f>
        <v>0</v>
      </c>
      <c r="G265" s="27" t="n">
        <f aca="false">C265-F265</f>
        <v>0</v>
      </c>
    </row>
    <row r="266" customFormat="false" ht="15" hidden="false" customHeight="false" outlineLevel="0" collapsed="false">
      <c r="B266" s="38" t="n">
        <v>254</v>
      </c>
      <c r="C266" s="27" t="n">
        <f aca="false">G265</f>
        <v>0</v>
      </c>
      <c r="D266" s="27" t="n">
        <f aca="false">E266+F266</f>
        <v>0</v>
      </c>
      <c r="E266" s="27" t="n">
        <f aca="false">IF(B266&lt;=$D$6,C266*$D$5/12,0)</f>
        <v>0</v>
      </c>
      <c r="F266" s="27" t="n">
        <f aca="false">IF(B266&lt;=$D$6,MIN($D$7-E266,C266),0)</f>
        <v>0</v>
      </c>
      <c r="G266" s="27" t="n">
        <f aca="false">C266-F266</f>
        <v>0</v>
      </c>
    </row>
    <row r="267" customFormat="false" ht="15" hidden="false" customHeight="false" outlineLevel="0" collapsed="false">
      <c r="B267" s="38" t="n">
        <v>255</v>
      </c>
      <c r="C267" s="27" t="n">
        <f aca="false">G266</f>
        <v>0</v>
      </c>
      <c r="D267" s="27" t="n">
        <f aca="false">E267+F267</f>
        <v>0</v>
      </c>
      <c r="E267" s="27" t="n">
        <f aca="false">IF(B267&lt;=$D$6,C267*$D$5/12,0)</f>
        <v>0</v>
      </c>
      <c r="F267" s="27" t="n">
        <f aca="false">IF(B267&lt;=$D$6,MIN($D$7-E267,C267),0)</f>
        <v>0</v>
      </c>
      <c r="G267" s="27" t="n">
        <f aca="false">C267-F267</f>
        <v>0</v>
      </c>
    </row>
    <row r="268" customFormat="false" ht="15" hidden="false" customHeight="false" outlineLevel="0" collapsed="false">
      <c r="B268" s="38" t="n">
        <v>256</v>
      </c>
      <c r="C268" s="27" t="n">
        <f aca="false">G267</f>
        <v>0</v>
      </c>
      <c r="D268" s="27" t="n">
        <f aca="false">E268+F268</f>
        <v>0</v>
      </c>
      <c r="E268" s="27" t="n">
        <f aca="false">IF(B268&lt;=$D$6,C268*$D$5/12,0)</f>
        <v>0</v>
      </c>
      <c r="F268" s="27" t="n">
        <f aca="false">IF(B268&lt;=$D$6,MIN($D$7-E268,C268),0)</f>
        <v>0</v>
      </c>
      <c r="G268" s="27" t="n">
        <f aca="false">C268-F268</f>
        <v>0</v>
      </c>
    </row>
    <row r="269" customFormat="false" ht="15" hidden="false" customHeight="false" outlineLevel="0" collapsed="false">
      <c r="B269" s="38" t="n">
        <v>257</v>
      </c>
      <c r="C269" s="27" t="n">
        <f aca="false">G268</f>
        <v>0</v>
      </c>
      <c r="D269" s="27" t="n">
        <f aca="false">E269+F269</f>
        <v>0</v>
      </c>
      <c r="E269" s="27" t="n">
        <f aca="false">IF(B269&lt;=$D$6,C269*$D$5/12,0)</f>
        <v>0</v>
      </c>
      <c r="F269" s="27" t="n">
        <f aca="false">IF(B269&lt;=$D$6,MIN($D$7-E269,C269),0)</f>
        <v>0</v>
      </c>
      <c r="G269" s="27" t="n">
        <f aca="false">C269-F269</f>
        <v>0</v>
      </c>
    </row>
    <row r="270" customFormat="false" ht="15" hidden="false" customHeight="false" outlineLevel="0" collapsed="false">
      <c r="B270" s="38" t="n">
        <v>258</v>
      </c>
      <c r="C270" s="27" t="n">
        <f aca="false">G269</f>
        <v>0</v>
      </c>
      <c r="D270" s="27" t="n">
        <f aca="false">E270+F270</f>
        <v>0</v>
      </c>
      <c r="E270" s="27" t="n">
        <f aca="false">IF(B270&lt;=$D$6,C270*$D$5/12,0)</f>
        <v>0</v>
      </c>
      <c r="F270" s="27" t="n">
        <f aca="false">IF(B270&lt;=$D$6,MIN($D$7-E270,C270),0)</f>
        <v>0</v>
      </c>
      <c r="G270" s="27" t="n">
        <f aca="false">C270-F270</f>
        <v>0</v>
      </c>
    </row>
    <row r="271" customFormat="false" ht="15" hidden="false" customHeight="false" outlineLevel="0" collapsed="false">
      <c r="B271" s="38" t="n">
        <v>259</v>
      </c>
      <c r="C271" s="27" t="n">
        <f aca="false">G270</f>
        <v>0</v>
      </c>
      <c r="D271" s="27" t="n">
        <f aca="false">E271+F271</f>
        <v>0</v>
      </c>
      <c r="E271" s="27" t="n">
        <f aca="false">IF(B271&lt;=$D$6,C271*$D$5/12,0)</f>
        <v>0</v>
      </c>
      <c r="F271" s="27" t="n">
        <f aca="false">IF(B271&lt;=$D$6,MIN($D$7-E271,C271),0)</f>
        <v>0</v>
      </c>
      <c r="G271" s="27" t="n">
        <f aca="false">C271-F271</f>
        <v>0</v>
      </c>
    </row>
    <row r="272" customFormat="false" ht="15" hidden="false" customHeight="false" outlineLevel="0" collapsed="false">
      <c r="B272" s="38" t="n">
        <v>260</v>
      </c>
      <c r="C272" s="27" t="n">
        <f aca="false">G271</f>
        <v>0</v>
      </c>
      <c r="D272" s="27" t="n">
        <f aca="false">E272+F272</f>
        <v>0</v>
      </c>
      <c r="E272" s="27" t="n">
        <f aca="false">IF(B272&lt;=$D$6,C272*$D$5/12,0)</f>
        <v>0</v>
      </c>
      <c r="F272" s="27" t="n">
        <f aca="false">IF(B272&lt;=$D$6,MIN($D$7-E272,C272),0)</f>
        <v>0</v>
      </c>
      <c r="G272" s="27" t="n">
        <f aca="false">C272-F272</f>
        <v>0</v>
      </c>
    </row>
    <row r="273" customFormat="false" ht="15" hidden="false" customHeight="false" outlineLevel="0" collapsed="false">
      <c r="B273" s="38" t="n">
        <v>261</v>
      </c>
      <c r="C273" s="27" t="n">
        <f aca="false">G272</f>
        <v>0</v>
      </c>
      <c r="D273" s="27" t="n">
        <f aca="false">E273+F273</f>
        <v>0</v>
      </c>
      <c r="E273" s="27" t="n">
        <f aca="false">IF(B273&lt;=$D$6,C273*$D$5/12,0)</f>
        <v>0</v>
      </c>
      <c r="F273" s="27" t="n">
        <f aca="false">IF(B273&lt;=$D$6,MIN($D$7-E273,C273),0)</f>
        <v>0</v>
      </c>
      <c r="G273" s="27" t="n">
        <f aca="false">C273-F273</f>
        <v>0</v>
      </c>
    </row>
    <row r="274" customFormat="false" ht="15" hidden="false" customHeight="false" outlineLevel="0" collapsed="false">
      <c r="B274" s="38" t="n">
        <v>262</v>
      </c>
      <c r="C274" s="27" t="n">
        <f aca="false">G273</f>
        <v>0</v>
      </c>
      <c r="D274" s="27" t="n">
        <f aca="false">E274+F274</f>
        <v>0</v>
      </c>
      <c r="E274" s="27" t="n">
        <f aca="false">IF(B274&lt;=$D$6,C274*$D$5/12,0)</f>
        <v>0</v>
      </c>
      <c r="F274" s="27" t="n">
        <f aca="false">IF(B274&lt;=$D$6,MIN($D$7-E274,C274),0)</f>
        <v>0</v>
      </c>
      <c r="G274" s="27" t="n">
        <f aca="false">C274-F274</f>
        <v>0</v>
      </c>
    </row>
    <row r="275" customFormat="false" ht="15" hidden="false" customHeight="false" outlineLevel="0" collapsed="false">
      <c r="B275" s="38" t="n">
        <v>263</v>
      </c>
      <c r="C275" s="27" t="n">
        <f aca="false">G274</f>
        <v>0</v>
      </c>
      <c r="D275" s="27" t="n">
        <f aca="false">E275+F275</f>
        <v>0</v>
      </c>
      <c r="E275" s="27" t="n">
        <f aca="false">IF(B275&lt;=$D$6,C275*$D$5/12,0)</f>
        <v>0</v>
      </c>
      <c r="F275" s="27" t="n">
        <f aca="false">IF(B275&lt;=$D$6,MIN($D$7-E275,C275),0)</f>
        <v>0</v>
      </c>
      <c r="G275" s="27" t="n">
        <f aca="false">C275-F275</f>
        <v>0</v>
      </c>
    </row>
    <row r="276" customFormat="false" ht="15" hidden="false" customHeight="false" outlineLevel="0" collapsed="false">
      <c r="B276" s="38" t="n">
        <v>264</v>
      </c>
      <c r="C276" s="27" t="n">
        <f aca="false">G275</f>
        <v>0</v>
      </c>
      <c r="D276" s="27" t="n">
        <f aca="false">E276+F276</f>
        <v>0</v>
      </c>
      <c r="E276" s="27" t="n">
        <f aca="false">IF(B276&lt;=$D$6,C276*$D$5/12,0)</f>
        <v>0</v>
      </c>
      <c r="F276" s="27" t="n">
        <f aca="false">IF(B276&lt;=$D$6,MIN($D$7-E276,C276),0)</f>
        <v>0</v>
      </c>
      <c r="G276" s="27" t="n">
        <f aca="false">C276-F276</f>
        <v>0</v>
      </c>
    </row>
    <row r="277" customFormat="false" ht="15" hidden="false" customHeight="false" outlineLevel="0" collapsed="false">
      <c r="B277" s="38" t="n">
        <v>265</v>
      </c>
      <c r="C277" s="27" t="n">
        <f aca="false">G276</f>
        <v>0</v>
      </c>
      <c r="D277" s="27" t="n">
        <f aca="false">E277+F277</f>
        <v>0</v>
      </c>
      <c r="E277" s="27" t="n">
        <f aca="false">IF(B277&lt;=$D$6,C277*$D$5/12,0)</f>
        <v>0</v>
      </c>
      <c r="F277" s="27" t="n">
        <f aca="false">IF(B277&lt;=$D$6,MIN($D$7-E277,C277),0)</f>
        <v>0</v>
      </c>
      <c r="G277" s="27" t="n">
        <f aca="false">C277-F277</f>
        <v>0</v>
      </c>
    </row>
    <row r="278" customFormat="false" ht="15" hidden="false" customHeight="false" outlineLevel="0" collapsed="false">
      <c r="B278" s="38" t="n">
        <v>266</v>
      </c>
      <c r="C278" s="27" t="n">
        <f aca="false">G277</f>
        <v>0</v>
      </c>
      <c r="D278" s="27" t="n">
        <f aca="false">E278+F278</f>
        <v>0</v>
      </c>
      <c r="E278" s="27" t="n">
        <f aca="false">IF(B278&lt;=$D$6,C278*$D$5/12,0)</f>
        <v>0</v>
      </c>
      <c r="F278" s="27" t="n">
        <f aca="false">IF(B278&lt;=$D$6,MIN($D$7-E278,C278),0)</f>
        <v>0</v>
      </c>
      <c r="G278" s="27" t="n">
        <f aca="false">C278-F278</f>
        <v>0</v>
      </c>
    </row>
    <row r="279" customFormat="false" ht="15" hidden="false" customHeight="false" outlineLevel="0" collapsed="false">
      <c r="B279" s="38" t="n">
        <v>267</v>
      </c>
      <c r="C279" s="27" t="n">
        <f aca="false">G278</f>
        <v>0</v>
      </c>
      <c r="D279" s="27" t="n">
        <f aca="false">E279+F279</f>
        <v>0</v>
      </c>
      <c r="E279" s="27" t="n">
        <f aca="false">IF(B279&lt;=$D$6,C279*$D$5/12,0)</f>
        <v>0</v>
      </c>
      <c r="F279" s="27" t="n">
        <f aca="false">IF(B279&lt;=$D$6,MIN($D$7-E279,C279),0)</f>
        <v>0</v>
      </c>
      <c r="G279" s="27" t="n">
        <f aca="false">C279-F279</f>
        <v>0</v>
      </c>
    </row>
    <row r="280" customFormat="false" ht="15" hidden="false" customHeight="false" outlineLevel="0" collapsed="false">
      <c r="B280" s="38" t="n">
        <v>268</v>
      </c>
      <c r="C280" s="27" t="n">
        <f aca="false">G279</f>
        <v>0</v>
      </c>
      <c r="D280" s="27" t="n">
        <f aca="false">E280+F280</f>
        <v>0</v>
      </c>
      <c r="E280" s="27" t="n">
        <f aca="false">IF(B280&lt;=$D$6,C280*$D$5/12,0)</f>
        <v>0</v>
      </c>
      <c r="F280" s="27" t="n">
        <f aca="false">IF(B280&lt;=$D$6,MIN($D$7-E280,C280),0)</f>
        <v>0</v>
      </c>
      <c r="G280" s="27" t="n">
        <f aca="false">C280-F280</f>
        <v>0</v>
      </c>
    </row>
    <row r="281" customFormat="false" ht="15" hidden="false" customHeight="false" outlineLevel="0" collapsed="false">
      <c r="B281" s="38" t="n">
        <v>269</v>
      </c>
      <c r="C281" s="27" t="n">
        <f aca="false">G280</f>
        <v>0</v>
      </c>
      <c r="D281" s="27" t="n">
        <f aca="false">E281+F281</f>
        <v>0</v>
      </c>
      <c r="E281" s="27" t="n">
        <f aca="false">IF(B281&lt;=$D$6,C281*$D$5/12,0)</f>
        <v>0</v>
      </c>
      <c r="F281" s="27" t="n">
        <f aca="false">IF(B281&lt;=$D$6,MIN($D$7-E281,C281),0)</f>
        <v>0</v>
      </c>
      <c r="G281" s="27" t="n">
        <f aca="false">C281-F281</f>
        <v>0</v>
      </c>
    </row>
    <row r="282" customFormat="false" ht="15" hidden="false" customHeight="false" outlineLevel="0" collapsed="false">
      <c r="B282" s="38" t="n">
        <v>270</v>
      </c>
      <c r="C282" s="27" t="n">
        <f aca="false">G281</f>
        <v>0</v>
      </c>
      <c r="D282" s="27" t="n">
        <f aca="false">E282+F282</f>
        <v>0</v>
      </c>
      <c r="E282" s="27" t="n">
        <f aca="false">IF(B282&lt;=$D$6,C282*$D$5/12,0)</f>
        <v>0</v>
      </c>
      <c r="F282" s="27" t="n">
        <f aca="false">IF(B282&lt;=$D$6,MIN($D$7-E282,C282),0)</f>
        <v>0</v>
      </c>
      <c r="G282" s="27" t="n">
        <f aca="false">C282-F282</f>
        <v>0</v>
      </c>
    </row>
    <row r="283" customFormat="false" ht="15" hidden="false" customHeight="false" outlineLevel="0" collapsed="false">
      <c r="B283" s="38" t="n">
        <v>271</v>
      </c>
      <c r="C283" s="27" t="n">
        <f aca="false">G282</f>
        <v>0</v>
      </c>
      <c r="D283" s="27" t="n">
        <f aca="false">E283+F283</f>
        <v>0</v>
      </c>
      <c r="E283" s="27" t="n">
        <f aca="false">IF(B283&lt;=$D$6,C283*$D$5/12,0)</f>
        <v>0</v>
      </c>
      <c r="F283" s="27" t="n">
        <f aca="false">IF(B283&lt;=$D$6,MIN($D$7-E283,C283),0)</f>
        <v>0</v>
      </c>
      <c r="G283" s="27" t="n">
        <f aca="false">C283-F283</f>
        <v>0</v>
      </c>
    </row>
    <row r="284" customFormat="false" ht="15" hidden="false" customHeight="false" outlineLevel="0" collapsed="false">
      <c r="B284" s="38" t="n">
        <v>272</v>
      </c>
      <c r="C284" s="27" t="n">
        <f aca="false">G283</f>
        <v>0</v>
      </c>
      <c r="D284" s="27" t="n">
        <f aca="false">E284+F284</f>
        <v>0</v>
      </c>
      <c r="E284" s="27" t="n">
        <f aca="false">IF(B284&lt;=$D$6,C284*$D$5/12,0)</f>
        <v>0</v>
      </c>
      <c r="F284" s="27" t="n">
        <f aca="false">IF(B284&lt;=$D$6,MIN($D$7-E284,C284),0)</f>
        <v>0</v>
      </c>
      <c r="G284" s="27" t="n">
        <f aca="false">C284-F284</f>
        <v>0</v>
      </c>
    </row>
    <row r="285" customFormat="false" ht="15" hidden="false" customHeight="false" outlineLevel="0" collapsed="false">
      <c r="B285" s="38" t="n">
        <v>273</v>
      </c>
      <c r="C285" s="27" t="n">
        <f aca="false">G284</f>
        <v>0</v>
      </c>
      <c r="D285" s="27" t="n">
        <f aca="false">E285+F285</f>
        <v>0</v>
      </c>
      <c r="E285" s="27" t="n">
        <f aca="false">IF(B285&lt;=$D$6,C285*$D$5/12,0)</f>
        <v>0</v>
      </c>
      <c r="F285" s="27" t="n">
        <f aca="false">IF(B285&lt;=$D$6,MIN($D$7-E285,C285),0)</f>
        <v>0</v>
      </c>
      <c r="G285" s="27" t="n">
        <f aca="false">C285-F285</f>
        <v>0</v>
      </c>
    </row>
    <row r="286" customFormat="false" ht="15" hidden="false" customHeight="false" outlineLevel="0" collapsed="false">
      <c r="B286" s="38" t="n">
        <v>274</v>
      </c>
      <c r="C286" s="27" t="n">
        <f aca="false">G285</f>
        <v>0</v>
      </c>
      <c r="D286" s="27" t="n">
        <f aca="false">E286+F286</f>
        <v>0</v>
      </c>
      <c r="E286" s="27" t="n">
        <f aca="false">IF(B286&lt;=$D$6,C286*$D$5/12,0)</f>
        <v>0</v>
      </c>
      <c r="F286" s="27" t="n">
        <f aca="false">IF(B286&lt;=$D$6,MIN($D$7-E286,C286),0)</f>
        <v>0</v>
      </c>
      <c r="G286" s="27" t="n">
        <f aca="false">C286-F286</f>
        <v>0</v>
      </c>
    </row>
    <row r="287" customFormat="false" ht="15" hidden="false" customHeight="false" outlineLevel="0" collapsed="false">
      <c r="B287" s="38" t="n">
        <v>275</v>
      </c>
      <c r="C287" s="27" t="n">
        <f aca="false">G286</f>
        <v>0</v>
      </c>
      <c r="D287" s="27" t="n">
        <f aca="false">E287+F287</f>
        <v>0</v>
      </c>
      <c r="E287" s="27" t="n">
        <f aca="false">IF(B287&lt;=$D$6,C287*$D$5/12,0)</f>
        <v>0</v>
      </c>
      <c r="F287" s="27" t="n">
        <f aca="false">IF(B287&lt;=$D$6,MIN($D$7-E287,C287),0)</f>
        <v>0</v>
      </c>
      <c r="G287" s="27" t="n">
        <f aca="false">C287-F287</f>
        <v>0</v>
      </c>
    </row>
    <row r="288" customFormat="false" ht="15" hidden="false" customHeight="false" outlineLevel="0" collapsed="false">
      <c r="B288" s="38" t="n">
        <v>276</v>
      </c>
      <c r="C288" s="27" t="n">
        <f aca="false">G287</f>
        <v>0</v>
      </c>
      <c r="D288" s="27" t="n">
        <f aca="false">E288+F288</f>
        <v>0</v>
      </c>
      <c r="E288" s="27" t="n">
        <f aca="false">IF(B288&lt;=$D$6,C288*$D$5/12,0)</f>
        <v>0</v>
      </c>
      <c r="F288" s="27" t="n">
        <f aca="false">IF(B288&lt;=$D$6,MIN($D$7-E288,C288),0)</f>
        <v>0</v>
      </c>
      <c r="G288" s="27" t="n">
        <f aca="false">C288-F288</f>
        <v>0</v>
      </c>
    </row>
    <row r="289" customFormat="false" ht="15" hidden="false" customHeight="false" outlineLevel="0" collapsed="false">
      <c r="B289" s="38" t="n">
        <v>277</v>
      </c>
      <c r="C289" s="27" t="n">
        <f aca="false">G288</f>
        <v>0</v>
      </c>
      <c r="D289" s="27" t="n">
        <f aca="false">E289+F289</f>
        <v>0</v>
      </c>
      <c r="E289" s="27" t="n">
        <f aca="false">IF(B289&lt;=$D$6,C289*$D$5/12,0)</f>
        <v>0</v>
      </c>
      <c r="F289" s="27" t="n">
        <f aca="false">IF(B289&lt;=$D$6,MIN($D$7-E289,C289),0)</f>
        <v>0</v>
      </c>
      <c r="G289" s="27" t="n">
        <f aca="false">C289-F289</f>
        <v>0</v>
      </c>
    </row>
    <row r="290" customFormat="false" ht="15" hidden="false" customHeight="false" outlineLevel="0" collapsed="false">
      <c r="B290" s="38" t="n">
        <v>278</v>
      </c>
      <c r="C290" s="27" t="n">
        <f aca="false">G289</f>
        <v>0</v>
      </c>
      <c r="D290" s="27" t="n">
        <f aca="false">E290+F290</f>
        <v>0</v>
      </c>
      <c r="E290" s="27" t="n">
        <f aca="false">IF(B290&lt;=$D$6,C290*$D$5/12,0)</f>
        <v>0</v>
      </c>
      <c r="F290" s="27" t="n">
        <f aca="false">IF(B290&lt;=$D$6,MIN($D$7-E290,C290),0)</f>
        <v>0</v>
      </c>
      <c r="G290" s="27" t="n">
        <f aca="false">C290-F290</f>
        <v>0</v>
      </c>
    </row>
    <row r="291" customFormat="false" ht="15" hidden="false" customHeight="false" outlineLevel="0" collapsed="false">
      <c r="B291" s="38" t="n">
        <v>279</v>
      </c>
      <c r="C291" s="27" t="n">
        <f aca="false">G290</f>
        <v>0</v>
      </c>
      <c r="D291" s="27" t="n">
        <f aca="false">E291+F291</f>
        <v>0</v>
      </c>
      <c r="E291" s="27" t="n">
        <f aca="false">IF(B291&lt;=$D$6,C291*$D$5/12,0)</f>
        <v>0</v>
      </c>
      <c r="F291" s="27" t="n">
        <f aca="false">IF(B291&lt;=$D$6,MIN($D$7-E291,C291),0)</f>
        <v>0</v>
      </c>
      <c r="G291" s="27" t="n">
        <f aca="false">C291-F291</f>
        <v>0</v>
      </c>
    </row>
    <row r="292" customFormat="false" ht="15" hidden="false" customHeight="false" outlineLevel="0" collapsed="false">
      <c r="B292" s="38" t="n">
        <v>280</v>
      </c>
      <c r="C292" s="27" t="n">
        <f aca="false">G291</f>
        <v>0</v>
      </c>
      <c r="D292" s="27" t="n">
        <f aca="false">E292+F292</f>
        <v>0</v>
      </c>
      <c r="E292" s="27" t="n">
        <f aca="false">IF(B292&lt;=$D$6,C292*$D$5/12,0)</f>
        <v>0</v>
      </c>
      <c r="F292" s="27" t="n">
        <f aca="false">IF(B292&lt;=$D$6,MIN($D$7-E292,C292),0)</f>
        <v>0</v>
      </c>
      <c r="G292" s="27" t="n">
        <f aca="false">C292-F292</f>
        <v>0</v>
      </c>
    </row>
    <row r="293" customFormat="false" ht="15" hidden="false" customHeight="false" outlineLevel="0" collapsed="false">
      <c r="B293" s="38" t="n">
        <v>281</v>
      </c>
      <c r="C293" s="27" t="n">
        <f aca="false">G292</f>
        <v>0</v>
      </c>
      <c r="D293" s="27" t="n">
        <f aca="false">E293+F293</f>
        <v>0</v>
      </c>
      <c r="E293" s="27" t="n">
        <f aca="false">IF(B293&lt;=$D$6,C293*$D$5/12,0)</f>
        <v>0</v>
      </c>
      <c r="F293" s="27" t="n">
        <f aca="false">IF(B293&lt;=$D$6,MIN($D$7-E293,C293),0)</f>
        <v>0</v>
      </c>
      <c r="G293" s="27" t="n">
        <f aca="false">C293-F293</f>
        <v>0</v>
      </c>
    </row>
    <row r="294" customFormat="false" ht="15" hidden="false" customHeight="false" outlineLevel="0" collapsed="false">
      <c r="B294" s="38" t="n">
        <v>282</v>
      </c>
      <c r="C294" s="27" t="n">
        <f aca="false">G293</f>
        <v>0</v>
      </c>
      <c r="D294" s="27" t="n">
        <f aca="false">E294+F294</f>
        <v>0</v>
      </c>
      <c r="E294" s="27" t="n">
        <f aca="false">IF(B294&lt;=$D$6,C294*$D$5/12,0)</f>
        <v>0</v>
      </c>
      <c r="F294" s="27" t="n">
        <f aca="false">IF(B294&lt;=$D$6,MIN($D$7-E294,C294),0)</f>
        <v>0</v>
      </c>
      <c r="G294" s="27" t="n">
        <f aca="false">C294-F294</f>
        <v>0</v>
      </c>
    </row>
    <row r="295" customFormat="false" ht="15" hidden="false" customHeight="false" outlineLevel="0" collapsed="false">
      <c r="B295" s="38" t="n">
        <v>283</v>
      </c>
      <c r="C295" s="27" t="n">
        <f aca="false">G294</f>
        <v>0</v>
      </c>
      <c r="D295" s="27" t="n">
        <f aca="false">E295+F295</f>
        <v>0</v>
      </c>
      <c r="E295" s="27" t="n">
        <f aca="false">IF(B295&lt;=$D$6,C295*$D$5/12,0)</f>
        <v>0</v>
      </c>
      <c r="F295" s="27" t="n">
        <f aca="false">IF(B295&lt;=$D$6,MIN($D$7-E295,C295),0)</f>
        <v>0</v>
      </c>
      <c r="G295" s="27" t="n">
        <f aca="false">C295-F295</f>
        <v>0</v>
      </c>
    </row>
    <row r="296" customFormat="false" ht="15" hidden="false" customHeight="false" outlineLevel="0" collapsed="false">
      <c r="B296" s="38" t="n">
        <v>284</v>
      </c>
      <c r="C296" s="27" t="n">
        <f aca="false">G295</f>
        <v>0</v>
      </c>
      <c r="D296" s="27" t="n">
        <f aca="false">E296+F296</f>
        <v>0</v>
      </c>
      <c r="E296" s="27" t="n">
        <f aca="false">IF(B296&lt;=$D$6,C296*$D$5/12,0)</f>
        <v>0</v>
      </c>
      <c r="F296" s="27" t="n">
        <f aca="false">IF(B296&lt;=$D$6,MIN($D$7-E296,C296),0)</f>
        <v>0</v>
      </c>
      <c r="G296" s="27" t="n">
        <f aca="false">C296-F296</f>
        <v>0</v>
      </c>
    </row>
    <row r="297" customFormat="false" ht="15" hidden="false" customHeight="false" outlineLevel="0" collapsed="false">
      <c r="B297" s="38" t="n">
        <v>285</v>
      </c>
      <c r="C297" s="27" t="n">
        <f aca="false">G296</f>
        <v>0</v>
      </c>
      <c r="D297" s="27" t="n">
        <f aca="false">E297+F297</f>
        <v>0</v>
      </c>
      <c r="E297" s="27" t="n">
        <f aca="false">IF(B297&lt;=$D$6,C297*$D$5/12,0)</f>
        <v>0</v>
      </c>
      <c r="F297" s="27" t="n">
        <f aca="false">IF(B297&lt;=$D$6,MIN($D$7-E297,C297),0)</f>
        <v>0</v>
      </c>
      <c r="G297" s="27" t="n">
        <f aca="false">C297-F297</f>
        <v>0</v>
      </c>
    </row>
    <row r="298" customFormat="false" ht="15" hidden="false" customHeight="false" outlineLevel="0" collapsed="false">
      <c r="B298" s="38" t="n">
        <v>286</v>
      </c>
      <c r="C298" s="27" t="n">
        <f aca="false">G297</f>
        <v>0</v>
      </c>
      <c r="D298" s="27" t="n">
        <f aca="false">E298+F298</f>
        <v>0</v>
      </c>
      <c r="E298" s="27" t="n">
        <f aca="false">IF(B298&lt;=$D$6,C298*$D$5/12,0)</f>
        <v>0</v>
      </c>
      <c r="F298" s="27" t="n">
        <f aca="false">IF(B298&lt;=$D$6,MIN($D$7-E298,C298),0)</f>
        <v>0</v>
      </c>
      <c r="G298" s="27" t="n">
        <f aca="false">C298-F298</f>
        <v>0</v>
      </c>
    </row>
    <row r="299" customFormat="false" ht="15" hidden="false" customHeight="false" outlineLevel="0" collapsed="false">
      <c r="B299" s="38" t="n">
        <v>287</v>
      </c>
      <c r="C299" s="27" t="n">
        <f aca="false">G298</f>
        <v>0</v>
      </c>
      <c r="D299" s="27" t="n">
        <f aca="false">E299+F299</f>
        <v>0</v>
      </c>
      <c r="E299" s="27" t="n">
        <f aca="false">IF(B299&lt;=$D$6,C299*$D$5/12,0)</f>
        <v>0</v>
      </c>
      <c r="F299" s="27" t="n">
        <f aca="false">IF(B299&lt;=$D$6,MIN($D$7-E299,C299),0)</f>
        <v>0</v>
      </c>
      <c r="G299" s="27" t="n">
        <f aca="false">C299-F299</f>
        <v>0</v>
      </c>
    </row>
    <row r="300" customFormat="false" ht="15" hidden="false" customHeight="false" outlineLevel="0" collapsed="false">
      <c r="B300" s="38" t="n">
        <v>288</v>
      </c>
      <c r="C300" s="27" t="n">
        <f aca="false">G299</f>
        <v>0</v>
      </c>
      <c r="D300" s="27" t="n">
        <f aca="false">E300+F300</f>
        <v>0</v>
      </c>
      <c r="E300" s="27" t="n">
        <f aca="false">IF(B300&lt;=$D$6,C300*$D$5/12,0)</f>
        <v>0</v>
      </c>
      <c r="F300" s="27" t="n">
        <f aca="false">IF(B300&lt;=$D$6,MIN($D$7-E300,C300),0)</f>
        <v>0</v>
      </c>
      <c r="G300" s="27" t="n">
        <f aca="false">C300-F300</f>
        <v>0</v>
      </c>
    </row>
    <row r="301" customFormat="false" ht="15" hidden="false" customHeight="false" outlineLevel="0" collapsed="false">
      <c r="B301" s="38" t="n">
        <v>289</v>
      </c>
      <c r="C301" s="27" t="n">
        <f aca="false">G300</f>
        <v>0</v>
      </c>
      <c r="D301" s="27" t="n">
        <f aca="false">E301+F301</f>
        <v>0</v>
      </c>
      <c r="E301" s="27" t="n">
        <f aca="false">IF(B301&lt;=$D$6,C301*$D$5/12,0)</f>
        <v>0</v>
      </c>
      <c r="F301" s="27" t="n">
        <f aca="false">IF(B301&lt;=$D$6,MIN($D$7-E301,C301),0)</f>
        <v>0</v>
      </c>
      <c r="G301" s="27" t="n">
        <f aca="false">C301-F301</f>
        <v>0</v>
      </c>
    </row>
    <row r="302" customFormat="false" ht="15" hidden="false" customHeight="false" outlineLevel="0" collapsed="false">
      <c r="B302" s="38" t="n">
        <v>290</v>
      </c>
      <c r="C302" s="27" t="n">
        <f aca="false">G301</f>
        <v>0</v>
      </c>
      <c r="D302" s="27" t="n">
        <f aca="false">E302+F302</f>
        <v>0</v>
      </c>
      <c r="E302" s="27" t="n">
        <f aca="false">IF(B302&lt;=$D$6,C302*$D$5/12,0)</f>
        <v>0</v>
      </c>
      <c r="F302" s="27" t="n">
        <f aca="false">IF(B302&lt;=$D$6,MIN($D$7-E302,C302),0)</f>
        <v>0</v>
      </c>
      <c r="G302" s="27" t="n">
        <f aca="false">C302-F302</f>
        <v>0</v>
      </c>
    </row>
    <row r="303" customFormat="false" ht="15" hidden="false" customHeight="false" outlineLevel="0" collapsed="false">
      <c r="B303" s="38" t="n">
        <v>291</v>
      </c>
      <c r="C303" s="27" t="n">
        <f aca="false">G302</f>
        <v>0</v>
      </c>
      <c r="D303" s="27" t="n">
        <f aca="false">E303+F303</f>
        <v>0</v>
      </c>
      <c r="E303" s="27" t="n">
        <f aca="false">IF(B303&lt;=$D$6,C303*$D$5/12,0)</f>
        <v>0</v>
      </c>
      <c r="F303" s="27" t="n">
        <f aca="false">IF(B303&lt;=$D$6,MIN($D$7-E303,C303),0)</f>
        <v>0</v>
      </c>
      <c r="G303" s="27" t="n">
        <f aca="false">C303-F303</f>
        <v>0</v>
      </c>
    </row>
    <row r="304" customFormat="false" ht="15" hidden="false" customHeight="false" outlineLevel="0" collapsed="false">
      <c r="B304" s="38" t="n">
        <v>292</v>
      </c>
      <c r="C304" s="27" t="n">
        <f aca="false">G303</f>
        <v>0</v>
      </c>
      <c r="D304" s="27" t="n">
        <f aca="false">E304+F304</f>
        <v>0</v>
      </c>
      <c r="E304" s="27" t="n">
        <f aca="false">IF(B304&lt;=$D$6,C304*$D$5/12,0)</f>
        <v>0</v>
      </c>
      <c r="F304" s="27" t="n">
        <f aca="false">IF(B304&lt;=$D$6,MIN($D$7-E304,C304),0)</f>
        <v>0</v>
      </c>
      <c r="G304" s="27" t="n">
        <f aca="false">C304-F304</f>
        <v>0</v>
      </c>
    </row>
    <row r="305" customFormat="false" ht="15" hidden="false" customHeight="false" outlineLevel="0" collapsed="false">
      <c r="B305" s="38" t="n">
        <v>293</v>
      </c>
      <c r="C305" s="27" t="n">
        <f aca="false">G304</f>
        <v>0</v>
      </c>
      <c r="D305" s="27" t="n">
        <f aca="false">E305+F305</f>
        <v>0</v>
      </c>
      <c r="E305" s="27" t="n">
        <f aca="false">IF(B305&lt;=$D$6,C305*$D$5/12,0)</f>
        <v>0</v>
      </c>
      <c r="F305" s="27" t="n">
        <f aca="false">IF(B305&lt;=$D$6,MIN($D$7-E305,C305),0)</f>
        <v>0</v>
      </c>
      <c r="G305" s="27" t="n">
        <f aca="false">C305-F305</f>
        <v>0</v>
      </c>
    </row>
    <row r="306" customFormat="false" ht="15" hidden="false" customHeight="false" outlineLevel="0" collapsed="false">
      <c r="B306" s="38" t="n">
        <v>294</v>
      </c>
      <c r="C306" s="27" t="n">
        <f aca="false">G305</f>
        <v>0</v>
      </c>
      <c r="D306" s="27" t="n">
        <f aca="false">E306+F306</f>
        <v>0</v>
      </c>
      <c r="E306" s="27" t="n">
        <f aca="false">IF(B306&lt;=$D$6,C306*$D$5/12,0)</f>
        <v>0</v>
      </c>
      <c r="F306" s="27" t="n">
        <f aca="false">IF(B306&lt;=$D$6,MIN($D$7-E306,C306),0)</f>
        <v>0</v>
      </c>
      <c r="G306" s="27" t="n">
        <f aca="false">C306-F306</f>
        <v>0</v>
      </c>
    </row>
    <row r="307" customFormat="false" ht="15" hidden="false" customHeight="false" outlineLevel="0" collapsed="false">
      <c r="B307" s="38" t="n">
        <v>295</v>
      </c>
      <c r="C307" s="27" t="n">
        <f aca="false">G306</f>
        <v>0</v>
      </c>
      <c r="D307" s="27" t="n">
        <f aca="false">E307+F307</f>
        <v>0</v>
      </c>
      <c r="E307" s="27" t="n">
        <f aca="false">IF(B307&lt;=$D$6,C307*$D$5/12,0)</f>
        <v>0</v>
      </c>
      <c r="F307" s="27" t="n">
        <f aca="false">IF(B307&lt;=$D$6,MIN($D$7-E307,C307),0)</f>
        <v>0</v>
      </c>
      <c r="G307" s="27" t="n">
        <f aca="false">C307-F307</f>
        <v>0</v>
      </c>
    </row>
    <row r="308" customFormat="false" ht="15" hidden="false" customHeight="false" outlineLevel="0" collapsed="false">
      <c r="B308" s="38" t="n">
        <v>296</v>
      </c>
      <c r="C308" s="27" t="n">
        <f aca="false">G307</f>
        <v>0</v>
      </c>
      <c r="D308" s="27" t="n">
        <f aca="false">E308+F308</f>
        <v>0</v>
      </c>
      <c r="E308" s="27" t="n">
        <f aca="false">IF(B308&lt;=$D$6,C308*$D$5/12,0)</f>
        <v>0</v>
      </c>
      <c r="F308" s="27" t="n">
        <f aca="false">IF(B308&lt;=$D$6,MIN($D$7-E308,C308),0)</f>
        <v>0</v>
      </c>
      <c r="G308" s="27" t="n">
        <f aca="false">C308-F308</f>
        <v>0</v>
      </c>
    </row>
    <row r="309" customFormat="false" ht="15" hidden="false" customHeight="false" outlineLevel="0" collapsed="false">
      <c r="B309" s="38" t="n">
        <v>297</v>
      </c>
      <c r="C309" s="27" t="n">
        <f aca="false">G308</f>
        <v>0</v>
      </c>
      <c r="D309" s="27" t="n">
        <f aca="false">E309+F309</f>
        <v>0</v>
      </c>
      <c r="E309" s="27" t="n">
        <f aca="false">IF(B309&lt;=$D$6,C309*$D$5/12,0)</f>
        <v>0</v>
      </c>
      <c r="F309" s="27" t="n">
        <f aca="false">IF(B309&lt;=$D$6,MIN($D$7-E309,C309),0)</f>
        <v>0</v>
      </c>
      <c r="G309" s="27" t="n">
        <f aca="false">C309-F309</f>
        <v>0</v>
      </c>
    </row>
    <row r="310" customFormat="false" ht="15" hidden="false" customHeight="false" outlineLevel="0" collapsed="false">
      <c r="B310" s="38" t="n">
        <v>298</v>
      </c>
      <c r="C310" s="27" t="n">
        <f aca="false">G309</f>
        <v>0</v>
      </c>
      <c r="D310" s="27" t="n">
        <f aca="false">E310+F310</f>
        <v>0</v>
      </c>
      <c r="E310" s="27" t="n">
        <f aca="false">IF(B310&lt;=$D$6,C310*$D$5/12,0)</f>
        <v>0</v>
      </c>
      <c r="F310" s="27" t="n">
        <f aca="false">IF(B310&lt;=$D$6,MIN($D$7-E310,C310),0)</f>
        <v>0</v>
      </c>
      <c r="G310" s="27" t="n">
        <f aca="false">C310-F310</f>
        <v>0</v>
      </c>
    </row>
    <row r="311" customFormat="false" ht="15" hidden="false" customHeight="false" outlineLevel="0" collapsed="false">
      <c r="B311" s="38" t="n">
        <v>299</v>
      </c>
      <c r="C311" s="27" t="n">
        <f aca="false">G310</f>
        <v>0</v>
      </c>
      <c r="D311" s="27" t="n">
        <f aca="false">E311+F311</f>
        <v>0</v>
      </c>
      <c r="E311" s="27" t="n">
        <f aca="false">IF(B311&lt;=$D$6,C311*$D$5/12,0)</f>
        <v>0</v>
      </c>
      <c r="F311" s="27" t="n">
        <f aca="false">IF(B311&lt;=$D$6,MIN($D$7-E311,C311),0)</f>
        <v>0</v>
      </c>
      <c r="G311" s="27" t="n">
        <f aca="false">C311-F311</f>
        <v>0</v>
      </c>
    </row>
    <row r="312" customFormat="false" ht="15" hidden="false" customHeight="false" outlineLevel="0" collapsed="false">
      <c r="B312" s="38" t="n">
        <v>300</v>
      </c>
      <c r="C312" s="27" t="n">
        <f aca="false">G311</f>
        <v>0</v>
      </c>
      <c r="D312" s="27" t="n">
        <f aca="false">E312+F312</f>
        <v>0</v>
      </c>
      <c r="E312" s="27" t="n">
        <f aca="false">IF(B312&lt;=$D$6,C312*$D$5/12,0)</f>
        <v>0</v>
      </c>
      <c r="F312" s="27" t="n">
        <f aca="false">IF(B312&lt;=$D$6,MIN($D$7-E312,C312),0)</f>
        <v>0</v>
      </c>
      <c r="G312" s="27" t="n">
        <f aca="false">C312-F312</f>
        <v>0</v>
      </c>
    </row>
    <row r="313" customFormat="false" ht="15" hidden="false" customHeight="false" outlineLevel="0" collapsed="false">
      <c r="B313" s="38" t="n">
        <v>301</v>
      </c>
      <c r="C313" s="27" t="n">
        <f aca="false">G312</f>
        <v>0</v>
      </c>
      <c r="D313" s="27" t="n">
        <f aca="false">E313+F313</f>
        <v>0</v>
      </c>
      <c r="E313" s="27" t="n">
        <f aca="false">IF(B313&lt;=$D$6,C313*$D$5/12,0)</f>
        <v>0</v>
      </c>
      <c r="F313" s="27" t="n">
        <f aca="false">IF(B313&lt;=$D$6,MIN($D$7-E313,C313),0)</f>
        <v>0</v>
      </c>
      <c r="G313" s="27" t="n">
        <f aca="false">C313-F313</f>
        <v>0</v>
      </c>
    </row>
    <row r="314" customFormat="false" ht="15" hidden="false" customHeight="false" outlineLevel="0" collapsed="false">
      <c r="B314" s="38" t="n">
        <v>302</v>
      </c>
      <c r="C314" s="27" t="n">
        <f aca="false">G313</f>
        <v>0</v>
      </c>
      <c r="D314" s="27" t="n">
        <f aca="false">E314+F314</f>
        <v>0</v>
      </c>
      <c r="E314" s="27" t="n">
        <f aca="false">IF(B314&lt;=$D$6,C314*$D$5/12,0)</f>
        <v>0</v>
      </c>
      <c r="F314" s="27" t="n">
        <f aca="false">IF(B314&lt;=$D$6,MIN($D$7-E314,C314),0)</f>
        <v>0</v>
      </c>
      <c r="G314" s="27" t="n">
        <f aca="false">C314-F314</f>
        <v>0</v>
      </c>
    </row>
    <row r="315" customFormat="false" ht="15" hidden="false" customHeight="false" outlineLevel="0" collapsed="false">
      <c r="B315" s="38" t="n">
        <v>303</v>
      </c>
      <c r="C315" s="27" t="n">
        <f aca="false">G314</f>
        <v>0</v>
      </c>
      <c r="D315" s="27" t="n">
        <f aca="false">E315+F315</f>
        <v>0</v>
      </c>
      <c r="E315" s="27" t="n">
        <f aca="false">IF(B315&lt;=$D$6,C315*$D$5/12,0)</f>
        <v>0</v>
      </c>
      <c r="F315" s="27" t="n">
        <f aca="false">IF(B315&lt;=$D$6,MIN($D$7-E315,C315),0)</f>
        <v>0</v>
      </c>
      <c r="G315" s="27" t="n">
        <f aca="false">C315-F315</f>
        <v>0</v>
      </c>
    </row>
    <row r="316" customFormat="false" ht="15" hidden="false" customHeight="false" outlineLevel="0" collapsed="false">
      <c r="B316" s="38" t="n">
        <v>304</v>
      </c>
      <c r="C316" s="27" t="n">
        <f aca="false">G315</f>
        <v>0</v>
      </c>
      <c r="D316" s="27" t="n">
        <f aca="false">E316+F316</f>
        <v>0</v>
      </c>
      <c r="E316" s="27" t="n">
        <f aca="false">IF(B316&lt;=$D$6,C316*$D$5/12,0)</f>
        <v>0</v>
      </c>
      <c r="F316" s="27" t="n">
        <f aca="false">IF(B316&lt;=$D$6,MIN($D$7-E316,C316),0)</f>
        <v>0</v>
      </c>
      <c r="G316" s="27" t="n">
        <f aca="false">C316-F316</f>
        <v>0</v>
      </c>
    </row>
    <row r="317" customFormat="false" ht="15" hidden="false" customHeight="false" outlineLevel="0" collapsed="false">
      <c r="B317" s="38" t="n">
        <v>305</v>
      </c>
      <c r="C317" s="27" t="n">
        <f aca="false">G316</f>
        <v>0</v>
      </c>
      <c r="D317" s="27" t="n">
        <f aca="false">E317+F317</f>
        <v>0</v>
      </c>
      <c r="E317" s="27" t="n">
        <f aca="false">IF(B317&lt;=$D$6,C317*$D$5/12,0)</f>
        <v>0</v>
      </c>
      <c r="F317" s="27" t="n">
        <f aca="false">IF(B317&lt;=$D$6,MIN($D$7-E317,C317),0)</f>
        <v>0</v>
      </c>
      <c r="G317" s="27" t="n">
        <f aca="false">C317-F317</f>
        <v>0</v>
      </c>
    </row>
    <row r="318" customFormat="false" ht="15" hidden="false" customHeight="false" outlineLevel="0" collapsed="false">
      <c r="B318" s="38" t="n">
        <v>306</v>
      </c>
      <c r="C318" s="27" t="n">
        <f aca="false">G317</f>
        <v>0</v>
      </c>
      <c r="D318" s="27" t="n">
        <f aca="false">E318+F318</f>
        <v>0</v>
      </c>
      <c r="E318" s="27" t="n">
        <f aca="false">IF(B318&lt;=$D$6,C318*$D$5/12,0)</f>
        <v>0</v>
      </c>
      <c r="F318" s="27" t="n">
        <f aca="false">IF(B318&lt;=$D$6,MIN($D$7-E318,C318),0)</f>
        <v>0</v>
      </c>
      <c r="G318" s="27" t="n">
        <f aca="false">C318-F318</f>
        <v>0</v>
      </c>
    </row>
    <row r="319" customFormat="false" ht="15" hidden="false" customHeight="false" outlineLevel="0" collapsed="false">
      <c r="B319" s="38" t="n">
        <v>307</v>
      </c>
      <c r="C319" s="27" t="n">
        <f aca="false">G318</f>
        <v>0</v>
      </c>
      <c r="D319" s="27" t="n">
        <f aca="false">E319+F319</f>
        <v>0</v>
      </c>
      <c r="E319" s="27" t="n">
        <f aca="false">IF(B319&lt;=$D$6,C319*$D$5/12,0)</f>
        <v>0</v>
      </c>
      <c r="F319" s="27" t="n">
        <f aca="false">IF(B319&lt;=$D$6,MIN($D$7-E319,C319),0)</f>
        <v>0</v>
      </c>
      <c r="G319" s="27" t="n">
        <f aca="false">C319-F319</f>
        <v>0</v>
      </c>
    </row>
    <row r="320" customFormat="false" ht="15" hidden="false" customHeight="false" outlineLevel="0" collapsed="false">
      <c r="B320" s="38" t="n">
        <v>308</v>
      </c>
      <c r="C320" s="27" t="n">
        <f aca="false">G319</f>
        <v>0</v>
      </c>
      <c r="D320" s="27" t="n">
        <f aca="false">E320+F320</f>
        <v>0</v>
      </c>
      <c r="E320" s="27" t="n">
        <f aca="false">IF(B320&lt;=$D$6,C320*$D$5/12,0)</f>
        <v>0</v>
      </c>
      <c r="F320" s="27" t="n">
        <f aca="false">IF(B320&lt;=$D$6,MIN($D$7-E320,C320),0)</f>
        <v>0</v>
      </c>
      <c r="G320" s="27" t="n">
        <f aca="false">C320-F320</f>
        <v>0</v>
      </c>
    </row>
    <row r="321" customFormat="false" ht="15" hidden="false" customHeight="false" outlineLevel="0" collapsed="false">
      <c r="B321" s="38" t="n">
        <v>309</v>
      </c>
      <c r="C321" s="27" t="n">
        <f aca="false">G320</f>
        <v>0</v>
      </c>
      <c r="D321" s="27" t="n">
        <f aca="false">E321+F321</f>
        <v>0</v>
      </c>
      <c r="E321" s="27" t="n">
        <f aca="false">IF(B321&lt;=$D$6,C321*$D$5/12,0)</f>
        <v>0</v>
      </c>
      <c r="F321" s="27" t="n">
        <f aca="false">IF(B321&lt;=$D$6,MIN($D$7-E321,C321),0)</f>
        <v>0</v>
      </c>
      <c r="G321" s="27" t="n">
        <f aca="false">C321-F321</f>
        <v>0</v>
      </c>
    </row>
    <row r="322" customFormat="false" ht="15" hidden="false" customHeight="false" outlineLevel="0" collapsed="false">
      <c r="B322" s="38" t="n">
        <v>310</v>
      </c>
      <c r="C322" s="27" t="n">
        <f aca="false">G321</f>
        <v>0</v>
      </c>
      <c r="D322" s="27" t="n">
        <f aca="false">E322+F322</f>
        <v>0</v>
      </c>
      <c r="E322" s="27" t="n">
        <f aca="false">IF(B322&lt;=$D$6,C322*$D$5/12,0)</f>
        <v>0</v>
      </c>
      <c r="F322" s="27" t="n">
        <f aca="false">IF(B322&lt;=$D$6,MIN($D$7-E322,C322),0)</f>
        <v>0</v>
      </c>
      <c r="G322" s="27" t="n">
        <f aca="false">C322-F322</f>
        <v>0</v>
      </c>
    </row>
    <row r="323" customFormat="false" ht="15" hidden="false" customHeight="false" outlineLevel="0" collapsed="false">
      <c r="B323" s="38" t="n">
        <v>311</v>
      </c>
      <c r="C323" s="27" t="n">
        <f aca="false">G322</f>
        <v>0</v>
      </c>
      <c r="D323" s="27" t="n">
        <f aca="false">E323+F323</f>
        <v>0</v>
      </c>
      <c r="E323" s="27" t="n">
        <f aca="false">IF(B323&lt;=$D$6,C323*$D$5/12,0)</f>
        <v>0</v>
      </c>
      <c r="F323" s="27" t="n">
        <f aca="false">IF(B323&lt;=$D$6,MIN($D$7-E323,C323),0)</f>
        <v>0</v>
      </c>
      <c r="G323" s="27" t="n">
        <f aca="false">C323-F323</f>
        <v>0</v>
      </c>
    </row>
    <row r="324" customFormat="false" ht="15" hidden="false" customHeight="false" outlineLevel="0" collapsed="false">
      <c r="B324" s="38" t="n">
        <v>312</v>
      </c>
      <c r="C324" s="27" t="n">
        <f aca="false">G323</f>
        <v>0</v>
      </c>
      <c r="D324" s="27" t="n">
        <f aca="false">E324+F324</f>
        <v>0</v>
      </c>
      <c r="E324" s="27" t="n">
        <f aca="false">IF(B324&lt;=$D$6,C324*$D$5/12,0)</f>
        <v>0</v>
      </c>
      <c r="F324" s="27" t="n">
        <f aca="false">IF(B324&lt;=$D$6,MIN($D$7-E324,C324),0)</f>
        <v>0</v>
      </c>
      <c r="G324" s="27" t="n">
        <f aca="false">C324-F324</f>
        <v>0</v>
      </c>
    </row>
    <row r="325" customFormat="false" ht="15" hidden="false" customHeight="false" outlineLevel="0" collapsed="false">
      <c r="B325" s="38" t="n">
        <v>313</v>
      </c>
      <c r="C325" s="27" t="n">
        <f aca="false">G324</f>
        <v>0</v>
      </c>
      <c r="D325" s="27" t="n">
        <f aca="false">E325+F325</f>
        <v>0</v>
      </c>
      <c r="E325" s="27" t="n">
        <f aca="false">IF(B325&lt;=$D$6,C325*$D$5/12,0)</f>
        <v>0</v>
      </c>
      <c r="F325" s="27" t="n">
        <f aca="false">IF(B325&lt;=$D$6,MIN($D$7-E325,C325),0)</f>
        <v>0</v>
      </c>
      <c r="G325" s="27" t="n">
        <f aca="false">C325-F325</f>
        <v>0</v>
      </c>
    </row>
    <row r="326" customFormat="false" ht="15" hidden="false" customHeight="false" outlineLevel="0" collapsed="false">
      <c r="B326" s="38" t="n">
        <v>314</v>
      </c>
      <c r="C326" s="27" t="n">
        <f aca="false">G325</f>
        <v>0</v>
      </c>
      <c r="D326" s="27" t="n">
        <f aca="false">E326+F326</f>
        <v>0</v>
      </c>
      <c r="E326" s="27" t="n">
        <f aca="false">IF(B326&lt;=$D$6,C326*$D$5/12,0)</f>
        <v>0</v>
      </c>
      <c r="F326" s="27" t="n">
        <f aca="false">IF(B326&lt;=$D$6,MIN($D$7-E326,C326),0)</f>
        <v>0</v>
      </c>
      <c r="G326" s="27" t="n">
        <f aca="false">C326-F326</f>
        <v>0</v>
      </c>
    </row>
    <row r="327" customFormat="false" ht="15" hidden="false" customHeight="false" outlineLevel="0" collapsed="false">
      <c r="B327" s="38" t="n">
        <v>315</v>
      </c>
      <c r="C327" s="27" t="n">
        <f aca="false">G326</f>
        <v>0</v>
      </c>
      <c r="D327" s="27" t="n">
        <f aca="false">E327+F327</f>
        <v>0</v>
      </c>
      <c r="E327" s="27" t="n">
        <f aca="false">IF(B327&lt;=$D$6,C327*$D$5/12,0)</f>
        <v>0</v>
      </c>
      <c r="F327" s="27" t="n">
        <f aca="false">IF(B327&lt;=$D$6,MIN($D$7-E327,C327),0)</f>
        <v>0</v>
      </c>
      <c r="G327" s="27" t="n">
        <f aca="false">C327-F327</f>
        <v>0</v>
      </c>
    </row>
    <row r="328" customFormat="false" ht="15" hidden="false" customHeight="false" outlineLevel="0" collapsed="false">
      <c r="B328" s="38" t="n">
        <v>316</v>
      </c>
      <c r="C328" s="27" t="n">
        <f aca="false">G327</f>
        <v>0</v>
      </c>
      <c r="D328" s="27" t="n">
        <f aca="false">E328+F328</f>
        <v>0</v>
      </c>
      <c r="E328" s="27" t="n">
        <f aca="false">IF(B328&lt;=$D$6,C328*$D$5/12,0)</f>
        <v>0</v>
      </c>
      <c r="F328" s="27" t="n">
        <f aca="false">IF(B328&lt;=$D$6,MIN($D$7-E328,C328),0)</f>
        <v>0</v>
      </c>
      <c r="G328" s="27" t="n">
        <f aca="false">C328-F328</f>
        <v>0</v>
      </c>
    </row>
    <row r="329" customFormat="false" ht="15" hidden="false" customHeight="false" outlineLevel="0" collapsed="false">
      <c r="B329" s="38" t="n">
        <v>317</v>
      </c>
      <c r="C329" s="27" t="n">
        <f aca="false">G328</f>
        <v>0</v>
      </c>
      <c r="D329" s="27" t="n">
        <f aca="false">E329+F329</f>
        <v>0</v>
      </c>
      <c r="E329" s="27" t="n">
        <f aca="false">IF(B329&lt;=$D$6,C329*$D$5/12,0)</f>
        <v>0</v>
      </c>
      <c r="F329" s="27" t="n">
        <f aca="false">IF(B329&lt;=$D$6,MIN($D$7-E329,C329),0)</f>
        <v>0</v>
      </c>
      <c r="G329" s="27" t="n">
        <f aca="false">C329-F329</f>
        <v>0</v>
      </c>
    </row>
    <row r="330" customFormat="false" ht="15" hidden="false" customHeight="false" outlineLevel="0" collapsed="false">
      <c r="B330" s="38" t="n">
        <v>318</v>
      </c>
      <c r="C330" s="27" t="n">
        <f aca="false">G329</f>
        <v>0</v>
      </c>
      <c r="D330" s="27" t="n">
        <f aca="false">E330+F330</f>
        <v>0</v>
      </c>
      <c r="E330" s="27" t="n">
        <f aca="false">IF(B330&lt;=$D$6,C330*$D$5/12,0)</f>
        <v>0</v>
      </c>
      <c r="F330" s="27" t="n">
        <f aca="false">IF(B330&lt;=$D$6,MIN($D$7-E330,C330),0)</f>
        <v>0</v>
      </c>
      <c r="G330" s="27" t="n">
        <f aca="false">C330-F330</f>
        <v>0</v>
      </c>
    </row>
    <row r="331" customFormat="false" ht="15" hidden="false" customHeight="false" outlineLevel="0" collapsed="false">
      <c r="B331" s="38" t="n">
        <v>319</v>
      </c>
      <c r="C331" s="27" t="n">
        <f aca="false">G330</f>
        <v>0</v>
      </c>
      <c r="D331" s="27" t="n">
        <f aca="false">E331+F331</f>
        <v>0</v>
      </c>
      <c r="E331" s="27" t="n">
        <f aca="false">IF(B331&lt;=$D$6,C331*$D$5/12,0)</f>
        <v>0</v>
      </c>
      <c r="F331" s="27" t="n">
        <f aca="false">IF(B331&lt;=$D$6,MIN($D$7-E331,C331),0)</f>
        <v>0</v>
      </c>
      <c r="G331" s="27" t="n">
        <f aca="false">C331-F331</f>
        <v>0</v>
      </c>
    </row>
    <row r="332" customFormat="false" ht="15" hidden="false" customHeight="false" outlineLevel="0" collapsed="false">
      <c r="B332" s="38" t="n">
        <v>320</v>
      </c>
      <c r="C332" s="27" t="n">
        <f aca="false">G331</f>
        <v>0</v>
      </c>
      <c r="D332" s="27" t="n">
        <f aca="false">E332+F332</f>
        <v>0</v>
      </c>
      <c r="E332" s="27" t="n">
        <f aca="false">IF(B332&lt;=$D$6,C332*$D$5/12,0)</f>
        <v>0</v>
      </c>
      <c r="F332" s="27" t="n">
        <f aca="false">IF(B332&lt;=$D$6,MIN($D$7-E332,C332),0)</f>
        <v>0</v>
      </c>
      <c r="G332" s="27" t="n">
        <f aca="false">C332-F332</f>
        <v>0</v>
      </c>
    </row>
    <row r="333" customFormat="false" ht="15" hidden="false" customHeight="false" outlineLevel="0" collapsed="false">
      <c r="B333" s="38" t="n">
        <v>321</v>
      </c>
      <c r="C333" s="27" t="n">
        <f aca="false">G332</f>
        <v>0</v>
      </c>
      <c r="D333" s="27" t="n">
        <f aca="false">E333+F333</f>
        <v>0</v>
      </c>
      <c r="E333" s="27" t="n">
        <f aca="false">IF(B333&lt;=$D$6,C333*$D$5/12,0)</f>
        <v>0</v>
      </c>
      <c r="F333" s="27" t="n">
        <f aca="false">IF(B333&lt;=$D$6,MIN($D$7-E333,C333),0)</f>
        <v>0</v>
      </c>
      <c r="G333" s="27" t="n">
        <f aca="false">C333-F333</f>
        <v>0</v>
      </c>
    </row>
    <row r="334" customFormat="false" ht="15" hidden="false" customHeight="false" outlineLevel="0" collapsed="false">
      <c r="B334" s="38" t="n">
        <v>322</v>
      </c>
      <c r="C334" s="27" t="n">
        <f aca="false">G333</f>
        <v>0</v>
      </c>
      <c r="D334" s="27" t="n">
        <f aca="false">E334+F334</f>
        <v>0</v>
      </c>
      <c r="E334" s="27" t="n">
        <f aca="false">IF(B334&lt;=$D$6,C334*$D$5/12,0)</f>
        <v>0</v>
      </c>
      <c r="F334" s="27" t="n">
        <f aca="false">IF(B334&lt;=$D$6,MIN($D$7-E334,C334),0)</f>
        <v>0</v>
      </c>
      <c r="G334" s="27" t="n">
        <f aca="false">C334-F334</f>
        <v>0</v>
      </c>
    </row>
    <row r="335" customFormat="false" ht="15" hidden="false" customHeight="false" outlineLevel="0" collapsed="false">
      <c r="B335" s="38" t="n">
        <v>323</v>
      </c>
      <c r="C335" s="27" t="n">
        <f aca="false">G334</f>
        <v>0</v>
      </c>
      <c r="D335" s="27" t="n">
        <f aca="false">E335+F335</f>
        <v>0</v>
      </c>
      <c r="E335" s="27" t="n">
        <f aca="false">IF(B335&lt;=$D$6,C335*$D$5/12,0)</f>
        <v>0</v>
      </c>
      <c r="F335" s="27" t="n">
        <f aca="false">IF(B335&lt;=$D$6,MIN($D$7-E335,C335),0)</f>
        <v>0</v>
      </c>
      <c r="G335" s="27" t="n">
        <f aca="false">C335-F335</f>
        <v>0</v>
      </c>
    </row>
    <row r="336" customFormat="false" ht="15" hidden="false" customHeight="false" outlineLevel="0" collapsed="false">
      <c r="B336" s="38" t="n">
        <v>324</v>
      </c>
      <c r="C336" s="27" t="n">
        <f aca="false">G335</f>
        <v>0</v>
      </c>
      <c r="D336" s="27" t="n">
        <f aca="false">E336+F336</f>
        <v>0</v>
      </c>
      <c r="E336" s="27" t="n">
        <f aca="false">IF(B336&lt;=$D$6,C336*$D$5/12,0)</f>
        <v>0</v>
      </c>
      <c r="F336" s="27" t="n">
        <f aca="false">IF(B336&lt;=$D$6,MIN($D$7-E336,C336),0)</f>
        <v>0</v>
      </c>
      <c r="G336" s="27" t="n">
        <f aca="false">C336-F336</f>
        <v>0</v>
      </c>
    </row>
    <row r="337" customFormat="false" ht="15" hidden="false" customHeight="false" outlineLevel="0" collapsed="false">
      <c r="B337" s="38" t="n">
        <v>325</v>
      </c>
      <c r="C337" s="27" t="n">
        <f aca="false">G336</f>
        <v>0</v>
      </c>
      <c r="D337" s="27" t="n">
        <f aca="false">E337+F337</f>
        <v>0</v>
      </c>
      <c r="E337" s="27" t="n">
        <f aca="false">IF(B337&lt;=$D$6,C337*$D$5/12,0)</f>
        <v>0</v>
      </c>
      <c r="F337" s="27" t="n">
        <f aca="false">IF(B337&lt;=$D$6,MIN($D$7-E337,C337),0)</f>
        <v>0</v>
      </c>
      <c r="G337" s="27" t="n">
        <f aca="false">C337-F337</f>
        <v>0</v>
      </c>
    </row>
    <row r="338" customFormat="false" ht="15" hidden="false" customHeight="false" outlineLevel="0" collapsed="false">
      <c r="B338" s="38" t="n">
        <v>326</v>
      </c>
      <c r="C338" s="27" t="n">
        <f aca="false">G337</f>
        <v>0</v>
      </c>
      <c r="D338" s="27" t="n">
        <f aca="false">E338+F338</f>
        <v>0</v>
      </c>
      <c r="E338" s="27" t="n">
        <f aca="false">IF(B338&lt;=$D$6,C338*$D$5/12,0)</f>
        <v>0</v>
      </c>
      <c r="F338" s="27" t="n">
        <f aca="false">IF(B338&lt;=$D$6,MIN($D$7-E338,C338),0)</f>
        <v>0</v>
      </c>
      <c r="G338" s="27" t="n">
        <f aca="false">C338-F338</f>
        <v>0</v>
      </c>
    </row>
    <row r="339" customFormat="false" ht="15" hidden="false" customHeight="false" outlineLevel="0" collapsed="false">
      <c r="B339" s="38" t="n">
        <v>327</v>
      </c>
      <c r="C339" s="27" t="n">
        <f aca="false">G338</f>
        <v>0</v>
      </c>
      <c r="D339" s="27" t="n">
        <f aca="false">E339+F339</f>
        <v>0</v>
      </c>
      <c r="E339" s="27" t="n">
        <f aca="false">IF(B339&lt;=$D$6,C339*$D$5/12,0)</f>
        <v>0</v>
      </c>
      <c r="F339" s="27" t="n">
        <f aca="false">IF(B339&lt;=$D$6,MIN($D$7-E339,C339),0)</f>
        <v>0</v>
      </c>
      <c r="G339" s="27" t="n">
        <f aca="false">C339-F339</f>
        <v>0</v>
      </c>
    </row>
    <row r="340" customFormat="false" ht="15" hidden="false" customHeight="false" outlineLevel="0" collapsed="false">
      <c r="B340" s="38" t="n">
        <v>328</v>
      </c>
      <c r="C340" s="27" t="n">
        <f aca="false">G339</f>
        <v>0</v>
      </c>
      <c r="D340" s="27" t="n">
        <f aca="false">E340+F340</f>
        <v>0</v>
      </c>
      <c r="E340" s="27" t="n">
        <f aca="false">IF(B340&lt;=$D$6,C340*$D$5/12,0)</f>
        <v>0</v>
      </c>
      <c r="F340" s="27" t="n">
        <f aca="false">IF(B340&lt;=$D$6,MIN($D$7-E340,C340),0)</f>
        <v>0</v>
      </c>
      <c r="G340" s="27" t="n">
        <f aca="false">C340-F340</f>
        <v>0</v>
      </c>
    </row>
    <row r="341" customFormat="false" ht="15" hidden="false" customHeight="false" outlineLevel="0" collapsed="false">
      <c r="B341" s="38" t="n">
        <v>329</v>
      </c>
      <c r="C341" s="27" t="n">
        <f aca="false">G340</f>
        <v>0</v>
      </c>
      <c r="D341" s="27" t="n">
        <f aca="false">E341+F341</f>
        <v>0</v>
      </c>
      <c r="E341" s="27" t="n">
        <f aca="false">IF(B341&lt;=$D$6,C341*$D$5/12,0)</f>
        <v>0</v>
      </c>
      <c r="F341" s="27" t="n">
        <f aca="false">IF(B341&lt;=$D$6,MIN($D$7-E341,C341),0)</f>
        <v>0</v>
      </c>
      <c r="G341" s="27" t="n">
        <f aca="false">C341-F341</f>
        <v>0</v>
      </c>
    </row>
    <row r="342" customFormat="false" ht="15" hidden="false" customHeight="false" outlineLevel="0" collapsed="false">
      <c r="B342" s="38" t="n">
        <v>330</v>
      </c>
      <c r="C342" s="27" t="n">
        <f aca="false">G341</f>
        <v>0</v>
      </c>
      <c r="D342" s="27" t="n">
        <f aca="false">E342+F342</f>
        <v>0</v>
      </c>
      <c r="E342" s="27" t="n">
        <f aca="false">IF(B342&lt;=$D$6,C342*$D$5/12,0)</f>
        <v>0</v>
      </c>
      <c r="F342" s="27" t="n">
        <f aca="false">IF(B342&lt;=$D$6,MIN($D$7-E342,C342),0)</f>
        <v>0</v>
      </c>
      <c r="G342" s="27" t="n">
        <f aca="false">C342-F342</f>
        <v>0</v>
      </c>
    </row>
    <row r="343" customFormat="false" ht="15" hidden="false" customHeight="false" outlineLevel="0" collapsed="false">
      <c r="B343" s="38" t="n">
        <v>331</v>
      </c>
      <c r="C343" s="27" t="n">
        <f aca="false">G342</f>
        <v>0</v>
      </c>
      <c r="D343" s="27" t="n">
        <f aca="false">E343+F343</f>
        <v>0</v>
      </c>
      <c r="E343" s="27" t="n">
        <f aca="false">IF(B343&lt;=$D$6,C343*$D$5/12,0)</f>
        <v>0</v>
      </c>
      <c r="F343" s="27" t="n">
        <f aca="false">IF(B343&lt;=$D$6,MIN($D$7-E343,C343),0)</f>
        <v>0</v>
      </c>
      <c r="G343" s="27" t="n">
        <f aca="false">C343-F343</f>
        <v>0</v>
      </c>
    </row>
    <row r="344" customFormat="false" ht="15" hidden="false" customHeight="false" outlineLevel="0" collapsed="false">
      <c r="B344" s="38" t="n">
        <v>332</v>
      </c>
      <c r="C344" s="27" t="n">
        <f aca="false">G343</f>
        <v>0</v>
      </c>
      <c r="D344" s="27" t="n">
        <f aca="false">E344+F344</f>
        <v>0</v>
      </c>
      <c r="E344" s="27" t="n">
        <f aca="false">IF(B344&lt;=$D$6,C344*$D$5/12,0)</f>
        <v>0</v>
      </c>
      <c r="F344" s="27" t="n">
        <f aca="false">IF(B344&lt;=$D$6,MIN($D$7-E344,C344),0)</f>
        <v>0</v>
      </c>
      <c r="G344" s="27" t="n">
        <f aca="false">C344-F344</f>
        <v>0</v>
      </c>
    </row>
    <row r="345" customFormat="false" ht="15" hidden="false" customHeight="false" outlineLevel="0" collapsed="false">
      <c r="B345" s="38" t="n">
        <v>333</v>
      </c>
      <c r="C345" s="27" t="n">
        <f aca="false">G344</f>
        <v>0</v>
      </c>
      <c r="D345" s="27" t="n">
        <f aca="false">E345+F345</f>
        <v>0</v>
      </c>
      <c r="E345" s="27" t="n">
        <f aca="false">IF(B345&lt;=$D$6,C345*$D$5/12,0)</f>
        <v>0</v>
      </c>
      <c r="F345" s="27" t="n">
        <f aca="false">IF(B345&lt;=$D$6,MIN($D$7-E345,C345),0)</f>
        <v>0</v>
      </c>
      <c r="G345" s="27" t="n">
        <f aca="false">C345-F345</f>
        <v>0</v>
      </c>
    </row>
    <row r="346" customFormat="false" ht="15" hidden="false" customHeight="false" outlineLevel="0" collapsed="false">
      <c r="B346" s="38" t="n">
        <v>334</v>
      </c>
      <c r="C346" s="27" t="n">
        <f aca="false">G345</f>
        <v>0</v>
      </c>
      <c r="D346" s="27" t="n">
        <f aca="false">E346+F346</f>
        <v>0</v>
      </c>
      <c r="E346" s="27" t="n">
        <f aca="false">IF(B346&lt;=$D$6,C346*$D$5/12,0)</f>
        <v>0</v>
      </c>
      <c r="F346" s="27" t="n">
        <f aca="false">IF(B346&lt;=$D$6,MIN($D$7-E346,C346),0)</f>
        <v>0</v>
      </c>
      <c r="G346" s="27" t="n">
        <f aca="false">C346-F346</f>
        <v>0</v>
      </c>
    </row>
    <row r="347" customFormat="false" ht="15" hidden="false" customHeight="false" outlineLevel="0" collapsed="false">
      <c r="B347" s="38" t="n">
        <v>335</v>
      </c>
      <c r="C347" s="27" t="n">
        <f aca="false">G346</f>
        <v>0</v>
      </c>
      <c r="D347" s="27" t="n">
        <f aca="false">E347+F347</f>
        <v>0</v>
      </c>
      <c r="E347" s="27" t="n">
        <f aca="false">IF(B347&lt;=$D$6,C347*$D$5/12,0)</f>
        <v>0</v>
      </c>
      <c r="F347" s="27" t="n">
        <f aca="false">IF(B347&lt;=$D$6,MIN($D$7-E347,C347),0)</f>
        <v>0</v>
      </c>
      <c r="G347" s="27" t="n">
        <f aca="false">C347-F347</f>
        <v>0</v>
      </c>
    </row>
    <row r="348" customFormat="false" ht="15" hidden="false" customHeight="false" outlineLevel="0" collapsed="false">
      <c r="B348" s="38" t="n">
        <v>336</v>
      </c>
      <c r="C348" s="27" t="n">
        <f aca="false">G347</f>
        <v>0</v>
      </c>
      <c r="D348" s="27" t="n">
        <f aca="false">E348+F348</f>
        <v>0</v>
      </c>
      <c r="E348" s="27" t="n">
        <f aca="false">IF(B348&lt;=$D$6,C348*$D$5/12,0)</f>
        <v>0</v>
      </c>
      <c r="F348" s="27" t="n">
        <f aca="false">IF(B348&lt;=$D$6,MIN($D$7-E348,C348),0)</f>
        <v>0</v>
      </c>
      <c r="G348" s="27" t="n">
        <f aca="false">C348-F348</f>
        <v>0</v>
      </c>
    </row>
    <row r="349" customFormat="false" ht="15" hidden="false" customHeight="false" outlineLevel="0" collapsed="false">
      <c r="B349" s="38" t="n">
        <v>337</v>
      </c>
      <c r="C349" s="27" t="n">
        <f aca="false">G348</f>
        <v>0</v>
      </c>
      <c r="D349" s="27" t="n">
        <f aca="false">E349+F349</f>
        <v>0</v>
      </c>
      <c r="E349" s="27" t="n">
        <f aca="false">IF(B349&lt;=$D$6,C349*$D$5/12,0)</f>
        <v>0</v>
      </c>
      <c r="F349" s="27" t="n">
        <f aca="false">IF(B349&lt;=$D$6,MIN($D$7-E349,C349),0)</f>
        <v>0</v>
      </c>
      <c r="G349" s="27" t="n">
        <f aca="false">C349-F349</f>
        <v>0</v>
      </c>
    </row>
    <row r="350" customFormat="false" ht="15" hidden="false" customHeight="false" outlineLevel="0" collapsed="false">
      <c r="B350" s="38" t="n">
        <v>338</v>
      </c>
      <c r="C350" s="27" t="n">
        <f aca="false">G349</f>
        <v>0</v>
      </c>
      <c r="D350" s="27" t="n">
        <f aca="false">E350+F350</f>
        <v>0</v>
      </c>
      <c r="E350" s="27" t="n">
        <f aca="false">IF(B350&lt;=$D$6,C350*$D$5/12,0)</f>
        <v>0</v>
      </c>
      <c r="F350" s="27" t="n">
        <f aca="false">IF(B350&lt;=$D$6,MIN($D$7-E350,C350),0)</f>
        <v>0</v>
      </c>
      <c r="G350" s="27" t="n">
        <f aca="false">C350-F350</f>
        <v>0</v>
      </c>
    </row>
    <row r="351" customFormat="false" ht="15" hidden="false" customHeight="false" outlineLevel="0" collapsed="false">
      <c r="B351" s="38" t="n">
        <v>339</v>
      </c>
      <c r="C351" s="27" t="n">
        <f aca="false">G350</f>
        <v>0</v>
      </c>
      <c r="D351" s="27" t="n">
        <f aca="false">E351+F351</f>
        <v>0</v>
      </c>
      <c r="E351" s="27" t="n">
        <f aca="false">IF(B351&lt;=$D$6,C351*$D$5/12,0)</f>
        <v>0</v>
      </c>
      <c r="F351" s="27" t="n">
        <f aca="false">IF(B351&lt;=$D$6,MIN($D$7-E351,C351),0)</f>
        <v>0</v>
      </c>
      <c r="G351" s="27" t="n">
        <f aca="false">C351-F351</f>
        <v>0</v>
      </c>
    </row>
    <row r="352" customFormat="false" ht="15" hidden="false" customHeight="false" outlineLevel="0" collapsed="false">
      <c r="B352" s="38" t="n">
        <v>340</v>
      </c>
      <c r="C352" s="27" t="n">
        <f aca="false">G351</f>
        <v>0</v>
      </c>
      <c r="D352" s="27" t="n">
        <f aca="false">E352+F352</f>
        <v>0</v>
      </c>
      <c r="E352" s="27" t="n">
        <f aca="false">IF(B352&lt;=$D$6,C352*$D$5/12,0)</f>
        <v>0</v>
      </c>
      <c r="F352" s="27" t="n">
        <f aca="false">IF(B352&lt;=$D$6,MIN($D$7-E352,C352),0)</f>
        <v>0</v>
      </c>
      <c r="G352" s="27" t="n">
        <f aca="false">C352-F352</f>
        <v>0</v>
      </c>
    </row>
    <row r="353" customFormat="false" ht="15" hidden="false" customHeight="false" outlineLevel="0" collapsed="false">
      <c r="B353" s="38" t="n">
        <v>341</v>
      </c>
      <c r="C353" s="27" t="n">
        <f aca="false">G352</f>
        <v>0</v>
      </c>
      <c r="D353" s="27" t="n">
        <f aca="false">E353+F353</f>
        <v>0</v>
      </c>
      <c r="E353" s="27" t="n">
        <f aca="false">IF(B353&lt;=$D$6,C353*$D$5/12,0)</f>
        <v>0</v>
      </c>
      <c r="F353" s="27" t="n">
        <f aca="false">IF(B353&lt;=$D$6,MIN($D$7-E353,C353),0)</f>
        <v>0</v>
      </c>
      <c r="G353" s="27" t="n">
        <f aca="false">C353-F353</f>
        <v>0</v>
      </c>
    </row>
    <row r="354" customFormat="false" ht="15" hidden="false" customHeight="false" outlineLevel="0" collapsed="false">
      <c r="B354" s="38" t="n">
        <v>342</v>
      </c>
      <c r="C354" s="27" t="n">
        <f aca="false">G353</f>
        <v>0</v>
      </c>
      <c r="D354" s="27" t="n">
        <f aca="false">E354+F354</f>
        <v>0</v>
      </c>
      <c r="E354" s="27" t="n">
        <f aca="false">IF(B354&lt;=$D$6,C354*$D$5/12,0)</f>
        <v>0</v>
      </c>
      <c r="F354" s="27" t="n">
        <f aca="false">IF(B354&lt;=$D$6,MIN($D$7-E354,C354),0)</f>
        <v>0</v>
      </c>
      <c r="G354" s="27" t="n">
        <f aca="false">C354-F354</f>
        <v>0</v>
      </c>
    </row>
    <row r="355" customFormat="false" ht="15" hidden="false" customHeight="false" outlineLevel="0" collapsed="false">
      <c r="B355" s="38" t="n">
        <v>343</v>
      </c>
      <c r="C355" s="27" t="n">
        <f aca="false">G354</f>
        <v>0</v>
      </c>
      <c r="D355" s="27" t="n">
        <f aca="false">E355+F355</f>
        <v>0</v>
      </c>
      <c r="E355" s="27" t="n">
        <f aca="false">IF(B355&lt;=$D$6,C355*$D$5/12,0)</f>
        <v>0</v>
      </c>
      <c r="F355" s="27" t="n">
        <f aca="false">IF(B355&lt;=$D$6,MIN($D$7-E355,C355),0)</f>
        <v>0</v>
      </c>
      <c r="G355" s="27" t="n">
        <f aca="false">C355-F355</f>
        <v>0</v>
      </c>
    </row>
    <row r="356" customFormat="false" ht="15" hidden="false" customHeight="false" outlineLevel="0" collapsed="false">
      <c r="B356" s="38" t="n">
        <v>344</v>
      </c>
      <c r="C356" s="27" t="n">
        <f aca="false">G355</f>
        <v>0</v>
      </c>
      <c r="D356" s="27" t="n">
        <f aca="false">E356+F356</f>
        <v>0</v>
      </c>
      <c r="E356" s="27" t="n">
        <f aca="false">IF(B356&lt;=$D$6,C356*$D$5/12,0)</f>
        <v>0</v>
      </c>
      <c r="F356" s="27" t="n">
        <f aca="false">IF(B356&lt;=$D$6,MIN($D$7-E356,C356),0)</f>
        <v>0</v>
      </c>
      <c r="G356" s="27" t="n">
        <f aca="false">C356-F356</f>
        <v>0</v>
      </c>
    </row>
    <row r="357" customFormat="false" ht="15" hidden="false" customHeight="false" outlineLevel="0" collapsed="false">
      <c r="B357" s="38" t="n">
        <v>345</v>
      </c>
      <c r="C357" s="27" t="n">
        <f aca="false">G356</f>
        <v>0</v>
      </c>
      <c r="D357" s="27" t="n">
        <f aca="false">E357+F357</f>
        <v>0</v>
      </c>
      <c r="E357" s="27" t="n">
        <f aca="false">IF(B357&lt;=$D$6,C357*$D$5/12,0)</f>
        <v>0</v>
      </c>
      <c r="F357" s="27" t="n">
        <f aca="false">IF(B357&lt;=$D$6,MIN($D$7-E357,C357),0)</f>
        <v>0</v>
      </c>
      <c r="G357" s="27" t="n">
        <f aca="false">C357-F357</f>
        <v>0</v>
      </c>
    </row>
    <row r="358" customFormat="false" ht="15" hidden="false" customHeight="false" outlineLevel="0" collapsed="false">
      <c r="B358" s="38" t="n">
        <v>346</v>
      </c>
      <c r="C358" s="27" t="n">
        <f aca="false">G357</f>
        <v>0</v>
      </c>
      <c r="D358" s="27" t="n">
        <f aca="false">E358+F358</f>
        <v>0</v>
      </c>
      <c r="E358" s="27" t="n">
        <f aca="false">IF(B358&lt;=$D$6,C358*$D$5/12,0)</f>
        <v>0</v>
      </c>
      <c r="F358" s="27" t="n">
        <f aca="false">IF(B358&lt;=$D$6,MIN($D$7-E358,C358),0)</f>
        <v>0</v>
      </c>
      <c r="G358" s="27" t="n">
        <f aca="false">C358-F358</f>
        <v>0</v>
      </c>
    </row>
    <row r="359" customFormat="false" ht="15" hidden="false" customHeight="false" outlineLevel="0" collapsed="false">
      <c r="B359" s="38" t="n">
        <v>347</v>
      </c>
      <c r="C359" s="27" t="n">
        <f aca="false">G358</f>
        <v>0</v>
      </c>
      <c r="D359" s="27" t="n">
        <f aca="false">E359+F359</f>
        <v>0</v>
      </c>
      <c r="E359" s="27" t="n">
        <f aca="false">IF(B359&lt;=$D$6,C359*$D$5/12,0)</f>
        <v>0</v>
      </c>
      <c r="F359" s="27" t="n">
        <f aca="false">IF(B359&lt;=$D$6,MIN($D$7-E359,C359),0)</f>
        <v>0</v>
      </c>
      <c r="G359" s="27" t="n">
        <f aca="false">C359-F359</f>
        <v>0</v>
      </c>
    </row>
    <row r="360" customFormat="false" ht="15" hidden="false" customHeight="false" outlineLevel="0" collapsed="false">
      <c r="B360" s="38" t="n">
        <v>348</v>
      </c>
      <c r="C360" s="27" t="n">
        <f aca="false">G359</f>
        <v>0</v>
      </c>
      <c r="D360" s="27" t="n">
        <f aca="false">E360+F360</f>
        <v>0</v>
      </c>
      <c r="E360" s="27" t="n">
        <f aca="false">IF(B360&lt;=$D$6,C360*$D$5/12,0)</f>
        <v>0</v>
      </c>
      <c r="F360" s="27" t="n">
        <f aca="false">IF(B360&lt;=$D$6,MIN($D$7-E360,C360),0)</f>
        <v>0</v>
      </c>
      <c r="G360" s="27" t="n">
        <f aca="false">C360-F360</f>
        <v>0</v>
      </c>
    </row>
    <row r="361" customFormat="false" ht="15" hidden="false" customHeight="false" outlineLevel="0" collapsed="false">
      <c r="B361" s="38" t="n">
        <v>349</v>
      </c>
      <c r="C361" s="27" t="n">
        <f aca="false">G360</f>
        <v>0</v>
      </c>
      <c r="D361" s="27" t="n">
        <f aca="false">E361+F361</f>
        <v>0</v>
      </c>
      <c r="E361" s="27" t="n">
        <f aca="false">IF(B361&lt;=$D$6,C361*$D$5/12,0)</f>
        <v>0</v>
      </c>
      <c r="F361" s="27" t="n">
        <f aca="false">IF(B361&lt;=$D$6,MIN($D$7-E361,C361),0)</f>
        <v>0</v>
      </c>
      <c r="G361" s="27" t="n">
        <f aca="false">C361-F361</f>
        <v>0</v>
      </c>
    </row>
    <row r="362" customFormat="false" ht="15" hidden="false" customHeight="false" outlineLevel="0" collapsed="false">
      <c r="B362" s="38" t="n">
        <v>350</v>
      </c>
      <c r="C362" s="27" t="n">
        <f aca="false">G361</f>
        <v>0</v>
      </c>
      <c r="D362" s="27" t="n">
        <f aca="false">E362+F362</f>
        <v>0</v>
      </c>
      <c r="E362" s="27" t="n">
        <f aca="false">IF(B362&lt;=$D$6,C362*$D$5/12,0)</f>
        <v>0</v>
      </c>
      <c r="F362" s="27" t="n">
        <f aca="false">IF(B362&lt;=$D$6,MIN($D$7-E362,C362),0)</f>
        <v>0</v>
      </c>
      <c r="G362" s="27" t="n">
        <f aca="false">C362-F362</f>
        <v>0</v>
      </c>
    </row>
    <row r="363" customFormat="false" ht="15" hidden="false" customHeight="false" outlineLevel="0" collapsed="false">
      <c r="B363" s="38" t="n">
        <v>351</v>
      </c>
      <c r="C363" s="27" t="n">
        <f aca="false">G362</f>
        <v>0</v>
      </c>
      <c r="D363" s="27" t="n">
        <f aca="false">E363+F363</f>
        <v>0</v>
      </c>
      <c r="E363" s="27" t="n">
        <f aca="false">IF(B363&lt;=$D$6,C363*$D$5/12,0)</f>
        <v>0</v>
      </c>
      <c r="F363" s="27" t="n">
        <f aca="false">IF(B363&lt;=$D$6,MIN($D$7-E363,C363),0)</f>
        <v>0</v>
      </c>
      <c r="G363" s="27" t="n">
        <f aca="false">C363-F363</f>
        <v>0</v>
      </c>
    </row>
    <row r="364" customFormat="false" ht="15" hidden="false" customHeight="false" outlineLevel="0" collapsed="false">
      <c r="B364" s="38" t="n">
        <v>352</v>
      </c>
      <c r="C364" s="27" t="n">
        <f aca="false">G363</f>
        <v>0</v>
      </c>
      <c r="D364" s="27" t="n">
        <f aca="false">E364+F364</f>
        <v>0</v>
      </c>
      <c r="E364" s="27" t="n">
        <f aca="false">IF(B364&lt;=$D$6,C364*$D$5/12,0)</f>
        <v>0</v>
      </c>
      <c r="F364" s="27" t="n">
        <f aca="false">IF(B364&lt;=$D$6,MIN($D$7-E364,C364),0)</f>
        <v>0</v>
      </c>
      <c r="G364" s="27" t="n">
        <f aca="false">C364-F364</f>
        <v>0</v>
      </c>
    </row>
    <row r="365" customFormat="false" ht="15" hidden="false" customHeight="false" outlineLevel="0" collapsed="false">
      <c r="B365" s="38" t="n">
        <v>353</v>
      </c>
      <c r="C365" s="27" t="n">
        <f aca="false">G364</f>
        <v>0</v>
      </c>
      <c r="D365" s="27" t="n">
        <f aca="false">E365+F365</f>
        <v>0</v>
      </c>
      <c r="E365" s="27" t="n">
        <f aca="false">IF(B365&lt;=$D$6,C365*$D$5/12,0)</f>
        <v>0</v>
      </c>
      <c r="F365" s="27" t="n">
        <f aca="false">IF(B365&lt;=$D$6,MIN($D$7-E365,C365),0)</f>
        <v>0</v>
      </c>
      <c r="G365" s="27" t="n">
        <f aca="false">C365-F365</f>
        <v>0</v>
      </c>
    </row>
    <row r="366" customFormat="false" ht="15" hidden="false" customHeight="false" outlineLevel="0" collapsed="false">
      <c r="B366" s="38" t="n">
        <v>354</v>
      </c>
      <c r="C366" s="27" t="n">
        <f aca="false">G365</f>
        <v>0</v>
      </c>
      <c r="D366" s="27" t="n">
        <f aca="false">E366+F366</f>
        <v>0</v>
      </c>
      <c r="E366" s="27" t="n">
        <f aca="false">IF(B366&lt;=$D$6,C366*$D$5/12,0)</f>
        <v>0</v>
      </c>
      <c r="F366" s="27" t="n">
        <f aca="false">IF(B366&lt;=$D$6,MIN($D$7-E366,C366),0)</f>
        <v>0</v>
      </c>
      <c r="G366" s="27" t="n">
        <f aca="false">C366-F366</f>
        <v>0</v>
      </c>
    </row>
    <row r="367" customFormat="false" ht="15" hidden="false" customHeight="false" outlineLevel="0" collapsed="false">
      <c r="B367" s="38" t="n">
        <v>355</v>
      </c>
      <c r="C367" s="27" t="n">
        <f aca="false">G366</f>
        <v>0</v>
      </c>
      <c r="D367" s="27" t="n">
        <f aca="false">E367+F367</f>
        <v>0</v>
      </c>
      <c r="E367" s="27" t="n">
        <f aca="false">IF(B367&lt;=$D$6,C367*$D$5/12,0)</f>
        <v>0</v>
      </c>
      <c r="F367" s="27" t="n">
        <f aca="false">IF(B367&lt;=$D$6,MIN($D$7-E367,C367),0)</f>
        <v>0</v>
      </c>
      <c r="G367" s="27" t="n">
        <f aca="false">C367-F367</f>
        <v>0</v>
      </c>
    </row>
    <row r="368" customFormat="false" ht="15" hidden="false" customHeight="false" outlineLevel="0" collapsed="false">
      <c r="B368" s="38" t="n">
        <v>356</v>
      </c>
      <c r="C368" s="27" t="n">
        <f aca="false">G367</f>
        <v>0</v>
      </c>
      <c r="D368" s="27" t="n">
        <f aca="false">E368+F368</f>
        <v>0</v>
      </c>
      <c r="E368" s="27" t="n">
        <f aca="false">IF(B368&lt;=$D$6,C368*$D$5/12,0)</f>
        <v>0</v>
      </c>
      <c r="F368" s="27" t="n">
        <f aca="false">IF(B368&lt;=$D$6,MIN($D$7-E368,C368),0)</f>
        <v>0</v>
      </c>
      <c r="G368" s="27" t="n">
        <f aca="false">C368-F368</f>
        <v>0</v>
      </c>
    </row>
    <row r="369" customFormat="false" ht="15" hidden="false" customHeight="false" outlineLevel="0" collapsed="false">
      <c r="B369" s="38" t="n">
        <v>357</v>
      </c>
      <c r="C369" s="27" t="n">
        <f aca="false">G368</f>
        <v>0</v>
      </c>
      <c r="D369" s="27" t="n">
        <f aca="false">E369+F369</f>
        <v>0</v>
      </c>
      <c r="E369" s="27" t="n">
        <f aca="false">IF(B369&lt;=$D$6,C369*$D$5/12,0)</f>
        <v>0</v>
      </c>
      <c r="F369" s="27" t="n">
        <f aca="false">IF(B369&lt;=$D$6,MIN($D$7-E369,C369),0)</f>
        <v>0</v>
      </c>
      <c r="G369" s="27" t="n">
        <f aca="false">C369-F369</f>
        <v>0</v>
      </c>
    </row>
    <row r="370" customFormat="false" ht="15" hidden="false" customHeight="false" outlineLevel="0" collapsed="false">
      <c r="B370" s="38" t="n">
        <v>358</v>
      </c>
      <c r="C370" s="27" t="n">
        <f aca="false">G369</f>
        <v>0</v>
      </c>
      <c r="D370" s="27" t="n">
        <f aca="false">E370+F370</f>
        <v>0</v>
      </c>
      <c r="E370" s="27" t="n">
        <f aca="false">IF(B370&lt;=$D$6,C370*$D$5/12,0)</f>
        <v>0</v>
      </c>
      <c r="F370" s="27" t="n">
        <f aca="false">IF(B370&lt;=$D$6,MIN($D$7-E370,C370),0)</f>
        <v>0</v>
      </c>
      <c r="G370" s="27" t="n">
        <f aca="false">C370-F370</f>
        <v>0</v>
      </c>
    </row>
    <row r="371" customFormat="false" ht="15" hidden="false" customHeight="false" outlineLevel="0" collapsed="false">
      <c r="B371" s="38" t="n">
        <v>359</v>
      </c>
      <c r="C371" s="27" t="n">
        <f aca="false">G370</f>
        <v>0</v>
      </c>
      <c r="D371" s="27" t="n">
        <f aca="false">E371+F371</f>
        <v>0</v>
      </c>
      <c r="E371" s="27" t="n">
        <f aca="false">IF(B371&lt;=$D$6,C371*$D$5/12,0)</f>
        <v>0</v>
      </c>
      <c r="F371" s="27" t="n">
        <f aca="false">IF(B371&lt;=$D$6,MIN($D$7-E371,C371),0)</f>
        <v>0</v>
      </c>
      <c r="G371" s="27" t="n">
        <f aca="false">C371-F371</f>
        <v>0</v>
      </c>
    </row>
    <row r="372" customFormat="false" ht="15" hidden="false" customHeight="false" outlineLevel="0" collapsed="false">
      <c r="B372" s="38" t="n">
        <v>360</v>
      </c>
      <c r="C372" s="27" t="n">
        <f aca="false">G371</f>
        <v>0</v>
      </c>
      <c r="D372" s="27" t="n">
        <f aca="false">E372+F372</f>
        <v>0</v>
      </c>
      <c r="E372" s="27" t="n">
        <f aca="false">IF(B372&lt;=$D$6,C372*$D$5/12,0)</f>
        <v>0</v>
      </c>
      <c r="F372" s="27" t="n">
        <f aca="false">IF(B372&lt;=$D$6,MIN($D$7-E372,C372),0)</f>
        <v>0</v>
      </c>
      <c r="G372" s="27" t="n">
        <f aca="false">C372-F372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5" min="3" style="0" width="15"/>
    <col collapsed="false" customWidth="true" hidden="false" outlineLevel="0" max="6" min="6" style="0" width="70"/>
  </cols>
  <sheetData>
    <row r="1" customFormat="false" ht="17.35" hidden="false" customHeight="false" outlineLevel="0" collapsed="false">
      <c r="B1" s="1" t="s">
        <v>378</v>
      </c>
    </row>
    <row r="2" customFormat="false" ht="15" hidden="false" customHeight="false" outlineLevel="0" collapsed="false">
      <c r="B2" s="2" t="s">
        <v>379</v>
      </c>
    </row>
    <row r="4" customFormat="false" ht="15" hidden="false" customHeight="false" outlineLevel="0" collapsed="false">
      <c r="B4" s="5" t="s">
        <v>380</v>
      </c>
      <c r="C4" s="5" t="s">
        <v>206</v>
      </c>
      <c r="D4" s="5" t="s">
        <v>207</v>
      </c>
      <c r="E4" s="5" t="s">
        <v>208</v>
      </c>
      <c r="F4" s="5" t="s">
        <v>381</v>
      </c>
    </row>
    <row r="5" customFormat="false" ht="15" hidden="false" customHeight="false" outlineLevel="0" collapsed="false">
      <c r="B5" s="3" t="s">
        <v>382</v>
      </c>
      <c r="C5" s="52" t="n">
        <f aca="false">'P&amp;L'!AM9</f>
        <v>1367824.4496</v>
      </c>
      <c r="D5" s="52" t="n">
        <f aca="false">'P&amp;L'!AN9</f>
        <v>1563901.60079808</v>
      </c>
      <c r="E5" s="52" t="n">
        <f aca="false">'P&amp;L'!AO9</f>
        <v>1638906.45484122</v>
      </c>
      <c r="F5" s="2" t="s">
        <v>383</v>
      </c>
    </row>
    <row r="6" customFormat="false" ht="15" hidden="false" customHeight="false" outlineLevel="0" collapsed="false">
      <c r="B6" s="7" t="s">
        <v>384</v>
      </c>
      <c r="C6" s="28" t="n">
        <f aca="false">IF(Assumptions!$C$8=0,0,'P&amp;L'!AM9/Assumptions!$C$8)</f>
        <v>22797.07416</v>
      </c>
      <c r="D6" s="28" t="n">
        <f aca="false">IF(Assumptions!$C$8=0,0,'P&amp;L'!AN9/Assumptions!$C$8)</f>
        <v>26065.026679968</v>
      </c>
      <c r="E6" s="28" t="n">
        <f aca="false">IF(Assumptions!$C$8=0,0,'P&amp;L'!AO9/Assumptions!$C$8)</f>
        <v>27315.107580687</v>
      </c>
      <c r="F6" s="2" t="s">
        <v>385</v>
      </c>
    </row>
    <row r="7" customFormat="false" ht="15" hidden="false" customHeight="false" outlineLevel="0" collapsed="false">
      <c r="B7" s="7" t="s">
        <v>221</v>
      </c>
      <c r="C7" s="25" t="n">
        <f aca="false">Revenue!AM19</f>
        <v>145.198602739726</v>
      </c>
      <c r="D7" s="25" t="n">
        <f aca="false">Revenue!AN19</f>
        <v>160.737072131148</v>
      </c>
      <c r="E7" s="25" t="n">
        <f aca="false">Revenue!AO19</f>
        <v>163.987894947945</v>
      </c>
      <c r="F7" s="2" t="s">
        <v>386</v>
      </c>
    </row>
    <row r="8" customFormat="false" ht="15" hidden="false" customHeight="false" outlineLevel="0" collapsed="false">
      <c r="B8" s="7" t="s">
        <v>387</v>
      </c>
      <c r="C8" s="27" t="n">
        <f aca="false">Revenue!AM31</f>
        <v>26.8846153846154</v>
      </c>
      <c r="D8" s="27" t="n">
        <f aca="false">Revenue!AN31</f>
        <v>27.6911538461538</v>
      </c>
      <c r="E8" s="27" t="n">
        <f aca="false">Revenue!AO31</f>
        <v>28.5218884615385</v>
      </c>
      <c r="F8" s="2" t="s">
        <v>388</v>
      </c>
    </row>
    <row r="9" customFormat="false" ht="15" hidden="false" customHeight="false" outlineLevel="0" collapsed="false">
      <c r="B9" s="7" t="s">
        <v>286</v>
      </c>
      <c r="C9" s="22" t="n">
        <f aca="false">'P&amp;L'!AM24</f>
        <v>0.285</v>
      </c>
      <c r="D9" s="22" t="n">
        <f aca="false">'P&amp;L'!AN24</f>
        <v>0.285</v>
      </c>
      <c r="E9" s="22" t="n">
        <f aca="false">'P&amp;L'!AO24</f>
        <v>0.285</v>
      </c>
      <c r="F9" s="2" t="s">
        <v>389</v>
      </c>
    </row>
    <row r="10" customFormat="false" ht="15" hidden="false" customHeight="false" outlineLevel="0" collapsed="false">
      <c r="B10" s="7" t="s">
        <v>287</v>
      </c>
      <c r="C10" s="22" t="n">
        <f aca="false">'P&amp;L'!AM25</f>
        <v>0.410416934210398</v>
      </c>
      <c r="D10" s="22" t="n">
        <f aca="false">'P&amp;L'!AN25</f>
        <v>0.37048103687509</v>
      </c>
      <c r="E10" s="22" t="n">
        <f aca="false">'P&amp;L'!AO25</f>
        <v>0.363392465077914</v>
      </c>
      <c r="F10" s="2" t="s">
        <v>390</v>
      </c>
    </row>
    <row r="11" customFormat="false" ht="15" hidden="false" customHeight="false" outlineLevel="0" collapsed="false">
      <c r="B11" s="3" t="s">
        <v>288</v>
      </c>
      <c r="C11" s="51" t="n">
        <f aca="false">'P&amp;L'!AM26</f>
        <v>0.695416934210398</v>
      </c>
      <c r="D11" s="51" t="n">
        <f aca="false">'P&amp;L'!AN26</f>
        <v>0.65548103687509</v>
      </c>
      <c r="E11" s="51" t="n">
        <f aca="false">'P&amp;L'!AO26</f>
        <v>0.648392465077914</v>
      </c>
      <c r="F11" s="2" t="s">
        <v>391</v>
      </c>
    </row>
    <row r="12" customFormat="false" ht="15" hidden="false" customHeight="false" outlineLevel="0" collapsed="false">
      <c r="B12" s="7" t="s">
        <v>289</v>
      </c>
      <c r="C12" s="22" t="n">
        <f aca="false">'P&amp;L'!AM27</f>
        <v>0.0789575007462273</v>
      </c>
      <c r="D12" s="22" t="n">
        <f aca="false">'P&amp;L'!AN27</f>
        <v>0.0711297948305908</v>
      </c>
      <c r="E12" s="22" t="n">
        <f aca="false">'P&amp;L'!AO27</f>
        <v>0.0699107625462982</v>
      </c>
      <c r="F12" s="2" t="s">
        <v>392</v>
      </c>
    </row>
    <row r="13" customFormat="false" ht="15" hidden="false" customHeight="false" outlineLevel="0" collapsed="false">
      <c r="B13" s="7" t="s">
        <v>393</v>
      </c>
      <c r="C13" s="28" t="n">
        <f aca="false">'P&amp;L'!AM16</f>
        <v>110486.735004343</v>
      </c>
      <c r="D13" s="28" t="n">
        <f aca="false">'P&amp;L'!AN16</f>
        <v>210611.925070101</v>
      </c>
      <c r="E13" s="28" t="n">
        <f aca="false">'P&amp;L'!AO16</f>
        <v>235893.282802795</v>
      </c>
      <c r="F13" s="2" t="s">
        <v>394</v>
      </c>
    </row>
    <row r="14" customFormat="false" ht="15" hidden="false" customHeight="false" outlineLevel="0" collapsed="false">
      <c r="B14" s="7" t="s">
        <v>290</v>
      </c>
      <c r="C14" s="22" t="n">
        <f aca="false">'P&amp;L'!AM28</f>
        <v>0.0807755227921632</v>
      </c>
      <c r="D14" s="22" t="n">
        <f aca="false">'P&amp;L'!AN28</f>
        <v>0.134670829010356</v>
      </c>
      <c r="E14" s="22" t="n">
        <f aca="false">'P&amp;L'!AO28</f>
        <v>0.143933341714521</v>
      </c>
      <c r="F14" s="2" t="s">
        <v>395</v>
      </c>
    </row>
    <row r="15" customFormat="false" ht="15" hidden="false" customHeight="false" outlineLevel="0" collapsed="false">
      <c r="B15" s="3" t="s">
        <v>294</v>
      </c>
      <c r="C15" s="52" t="n">
        <f aca="false">'P&amp;L'!AM21</f>
        <v>-20926.0751616895</v>
      </c>
      <c r="D15" s="52" t="n">
        <f aca="false">'P&amp;L'!AN21</f>
        <v>82820.2430718896</v>
      </c>
      <c r="E15" s="52" t="n">
        <f aca="false">'P&amp;L'!AO21</f>
        <v>112121.789791027</v>
      </c>
      <c r="F15" s="2" t="s">
        <v>396</v>
      </c>
    </row>
    <row r="16" customFormat="false" ht="15" hidden="false" customHeight="false" outlineLevel="0" collapsed="false">
      <c r="B16" s="7" t="s">
        <v>291</v>
      </c>
      <c r="C16" s="22" t="n">
        <f aca="false">'P&amp;L'!AM29</f>
        <v>-0.0152988018073584</v>
      </c>
      <c r="D16" s="22" t="n">
        <f aca="false">'P&amp;L'!AN29</f>
        <v>0.052957451434045</v>
      </c>
      <c r="E16" s="22" t="n">
        <f aca="false">'P&amp;L'!AO29</f>
        <v>0.0684125622056261</v>
      </c>
      <c r="F16" s="2" t="s">
        <v>397</v>
      </c>
    </row>
    <row r="17" customFormat="false" ht="15" hidden="false" customHeight="false" outlineLevel="0" collapsed="false">
      <c r="B17" s="7" t="s">
        <v>398</v>
      </c>
      <c r="C17" s="28" t="n">
        <f aca="false">Loan!$G$4</f>
        <v>89057.097871861</v>
      </c>
      <c r="D17" s="28" t="n">
        <f aca="false">Loan!$G$5</f>
        <v>89057.097871861</v>
      </c>
      <c r="E17" s="28" t="n">
        <f aca="false">Loan!$G$6</f>
        <v>89057.097871861</v>
      </c>
      <c r="F17" s="2" t="s">
        <v>399</v>
      </c>
    </row>
    <row r="18" customFormat="false" ht="15" hidden="false" customHeight="false" outlineLevel="0" collapsed="false">
      <c r="B18" s="3" t="s">
        <v>400</v>
      </c>
      <c r="C18" s="58" t="n">
        <f aca="false">IF(Loan!$G$4=0,0,('P&amp;L'!AM16-'P&amp;L'!AM20)/Loan!$G$4)</f>
        <v>1.24062806496699</v>
      </c>
      <c r="D18" s="58" t="n">
        <f aca="false">IF(Loan!$G$5=0,0,('P&amp;L'!AN16-'P&amp;L'!AN20)/Loan!$G$5)</f>
        <v>2.36490891914239</v>
      </c>
      <c r="E18" s="58" t="n">
        <f aca="false">IF(Loan!$G$6=0,0,('P&amp;L'!AO16-'P&amp;L'!AO20)/Loan!$G$6)</f>
        <v>2.64878699665475</v>
      </c>
      <c r="F18" s="2" t="s">
        <v>401</v>
      </c>
    </row>
    <row r="19" customFormat="false" ht="15" hidden="false" customHeight="false" outlineLevel="0" collapsed="false">
      <c r="B19" s="3" t="s">
        <v>402</v>
      </c>
      <c r="C19" s="58" t="n">
        <f aca="false">IF(Loan!$G$4=0,0,('P&amp;L'!AM16-'P&amp;L'!AM20+'Cash Flow'!AM11)/Loan!$G$4)</f>
        <v>1.24062806496699</v>
      </c>
      <c r="D19" s="58" t="n">
        <f aca="false">IF(Loan!$G$5=0,0,('P&amp;L'!AN16-'P&amp;L'!AN20+'Cash Flow'!AN11)/Loan!$G$5)</f>
        <v>2.36490891914239</v>
      </c>
      <c r="E19" s="58" t="n">
        <f aca="false">IF(Loan!$G$6=0,0,('P&amp;L'!AO16-'P&amp;L'!AO20+'Cash Flow'!AO11)/Loan!$G$6)</f>
        <v>2.64878699665475</v>
      </c>
      <c r="F19" s="2" t="s">
        <v>403</v>
      </c>
    </row>
    <row r="20" customFormat="false" ht="15" hidden="false" customHeight="false" outlineLevel="0" collapsed="false">
      <c r="B20" s="7" t="s">
        <v>404</v>
      </c>
      <c r="C20" s="28" t="n">
        <f aca="false">'Cash Flow'!AM15</f>
        <v>96429.6371324819</v>
      </c>
      <c r="D20" s="28" t="n">
        <f aca="false">'Cash Flow'!AN15</f>
        <v>217984.464330722</v>
      </c>
      <c r="E20" s="28" t="n">
        <f aca="false">'Cash Flow'!AO15</f>
        <v>364820.649261656</v>
      </c>
      <c r="F20" s="2" t="s">
        <v>405</v>
      </c>
    </row>
    <row r="21" customFormat="false" ht="15" hidden="false" customHeight="false" outlineLevel="0" collapsed="false">
      <c r="B21" s="3" t="s">
        <v>406</v>
      </c>
      <c r="C21" s="52" t="n">
        <f aca="false">MIN('Cash Flow'!C15:N15)</f>
        <v>26952.3846289225</v>
      </c>
      <c r="D21" s="52" t="n">
        <f aca="false">MIN('Cash Flow'!O15:Z15)</f>
        <v>98923.024016923</v>
      </c>
      <c r="E21" s="52" t="n">
        <f aca="false">MIN('Cash Flow'!AA15:AL15)</f>
        <v>222326.834258695</v>
      </c>
      <c r="F21" s="2" t="s">
        <v>407</v>
      </c>
    </row>
    <row r="22" customFormat="false" ht="15" hidden="false" customHeight="false" outlineLevel="0" collapsed="false">
      <c r="B22" s="7" t="s">
        <v>408</v>
      </c>
      <c r="C22" s="38" t="n">
        <f aca="false">COUNTIF('Cash Flow'!C16:N16,"?*")</f>
        <v>0</v>
      </c>
      <c r="D22" s="38" t="n">
        <f aca="false">COUNTIF('Cash Flow'!O16:Z16,"?*")</f>
        <v>0</v>
      </c>
      <c r="E22" s="38" t="n">
        <f aca="false">COUNTIF('Cash Flow'!AA16:AL16,"?*")</f>
        <v>0</v>
      </c>
      <c r="F22" s="2" t="s">
        <v>409</v>
      </c>
    </row>
    <row r="24" customFormat="false" ht="15" hidden="false" customHeight="false" outlineLevel="0" collapsed="false">
      <c r="B24" s="5" t="s">
        <v>410</v>
      </c>
      <c r="C24" s="6"/>
      <c r="D24" s="6"/>
      <c r="E24" s="6"/>
      <c r="F24" s="6"/>
    </row>
    <row r="25" customFormat="false" ht="15" hidden="false" customHeight="false" outlineLevel="0" collapsed="false">
      <c r="B25" s="7" t="s">
        <v>411</v>
      </c>
      <c r="C25" s="3" t="str">
        <f aca="false">IF('Startup &amp; Funding'!$C$25&gt;=0,"OK","SHORTFALL")</f>
        <v>OK</v>
      </c>
    </row>
    <row r="26" customFormat="false" ht="15" hidden="false" customHeight="false" outlineLevel="0" collapsed="false">
      <c r="B26" s="7" t="s">
        <v>412</v>
      </c>
      <c r="C26" s="3" t="str">
        <f aca="false">IF(ABS(INDEX(Loan!$G$13:$G$372,MAX(1,Loan!$D$6)))&lt;1,"OK","CHECK")</f>
        <v>OK</v>
      </c>
    </row>
    <row r="27" customFormat="false" ht="15" hidden="false" customHeight="false" outlineLevel="0" collapsed="false">
      <c r="B27" s="7" t="s">
        <v>413</v>
      </c>
      <c r="C27" s="3" t="str">
        <f aca="false">IF(ABS(SUM('P&amp;L'!AM9:AO9)-SUM(Revenue!AM27:AO27))&lt;1,"OK","CHECK")</f>
        <v>OK</v>
      </c>
    </row>
    <row r="28" customFormat="false" ht="15" hidden="false" customHeight="false" outlineLevel="0" collapsed="false">
      <c r="B28" s="7" t="s">
        <v>414</v>
      </c>
      <c r="C28" s="3" t="str">
        <f aca="false">IF(ABS((Assumptions!$C$91+Assumptions!$C$97+Assumptions!$C$100+Assumptions!$C$101-Assumptions!$C$111)+SUM('P&amp;L'!C21:N21)+SUM('P&amp;L'!C17:N17)-SUM(Loan!$F$13:$F$24)-Assumptions!$C$102*12-'Cash Flow'!N15)&lt;1,"OK","CHECK")</f>
        <v>OK</v>
      </c>
      <c r="F28" s="2" t="s">
        <v>415</v>
      </c>
    </row>
    <row r="29" customFormat="false" ht="15" hidden="false" customHeight="false" outlineLevel="0" collapsed="false">
      <c r="B29" s="7" t="s">
        <v>416</v>
      </c>
      <c r="C29" s="3" t="str">
        <f aca="false">IF(ABS((Assumptions!$C$91+Assumptions!$C$97+Assumptions!$C$100+Assumptions!$C$101-Assumptions!$C$111)+SUM('P&amp;L'!C21:AL21)+SUM('P&amp;L'!C17:AL17)-SUM(Loan!$F$13:$F$48)-Assumptions!$C$102*36-'Cash Flow'!AL15)&lt;1,"OK","CHECK")</f>
        <v>OK</v>
      </c>
      <c r="F29" s="2" t="s">
        <v>417</v>
      </c>
    </row>
    <row r="30" customFormat="false" ht="15" hidden="false" customHeight="false" outlineLevel="0" collapsed="false">
      <c r="B30" s="2" t="s">
        <v>418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70"/>
    <col collapsed="false" customWidth="true" hidden="false" outlineLevel="0" max="4" min="4" style="0" width="60"/>
  </cols>
  <sheetData>
    <row r="1" customFormat="false" ht="17.35" hidden="false" customHeight="false" outlineLevel="0" collapsed="false">
      <c r="B1" s="1" t="s">
        <v>419</v>
      </c>
    </row>
    <row r="2" customFormat="false" ht="15" hidden="false" customHeight="false" outlineLevel="0" collapsed="false">
      <c r="B2" s="2" t="s">
        <v>420</v>
      </c>
    </row>
    <row r="4" customFormat="false" ht="15" hidden="false" customHeight="false" outlineLevel="0" collapsed="false">
      <c r="B4" s="5" t="s">
        <v>421</v>
      </c>
      <c r="C4" s="5" t="s">
        <v>422</v>
      </c>
      <c r="D4" s="5" t="s">
        <v>423</v>
      </c>
    </row>
    <row r="5" customFormat="false" ht="54" hidden="false" customHeight="true" outlineLevel="0" collapsed="false">
      <c r="B5" s="59" t="s">
        <v>424</v>
      </c>
      <c r="C5" s="60" t="s">
        <v>425</v>
      </c>
      <c r="D5" s="60" t="s">
        <v>426</v>
      </c>
    </row>
    <row r="6" customFormat="false" ht="54" hidden="false" customHeight="true" outlineLevel="0" collapsed="false">
      <c r="B6" s="59" t="s">
        <v>427</v>
      </c>
      <c r="C6" s="60" t="s">
        <v>428</v>
      </c>
      <c r="D6" s="60" t="s">
        <v>429</v>
      </c>
    </row>
    <row r="7" customFormat="false" ht="54" hidden="false" customHeight="true" outlineLevel="0" collapsed="false">
      <c r="B7" s="59" t="s">
        <v>430</v>
      </c>
      <c r="C7" s="60" t="s">
        <v>431</v>
      </c>
      <c r="D7" s="60" t="s">
        <v>432</v>
      </c>
    </row>
    <row r="8" customFormat="false" ht="54" hidden="false" customHeight="true" outlineLevel="0" collapsed="false">
      <c r="B8" s="59" t="s">
        <v>433</v>
      </c>
      <c r="C8" s="60" t="s">
        <v>434</v>
      </c>
      <c r="D8" s="60" t="s">
        <v>435</v>
      </c>
    </row>
    <row r="9" customFormat="false" ht="54" hidden="false" customHeight="true" outlineLevel="0" collapsed="false">
      <c r="B9" s="59" t="s">
        <v>436</v>
      </c>
      <c r="C9" s="60" t="s">
        <v>437</v>
      </c>
      <c r="D9" s="60" t="s">
        <v>438</v>
      </c>
    </row>
    <row r="10" customFormat="false" ht="54" hidden="false" customHeight="true" outlineLevel="0" collapsed="false">
      <c r="B10" s="59" t="s">
        <v>439</v>
      </c>
      <c r="C10" s="60" t="s">
        <v>440</v>
      </c>
      <c r="D10" s="60" t="s">
        <v>441</v>
      </c>
    </row>
    <row r="12" customFormat="false" ht="15" hidden="false" customHeight="false" outlineLevel="0" collapsed="false">
      <c r="B12" s="5" t="s">
        <v>442</v>
      </c>
      <c r="C12" s="6"/>
      <c r="D12" s="6"/>
    </row>
    <row r="13" customFormat="false" ht="27.75" hidden="false" customHeight="true" outlineLevel="0" collapsed="false">
      <c r="B13" s="61" t="s">
        <v>443</v>
      </c>
      <c r="C13" s="61"/>
      <c r="D13" s="61"/>
    </row>
    <row r="14" customFormat="false" ht="27.75" hidden="false" customHeight="true" outlineLevel="0" collapsed="false">
      <c r="B14" s="62" t="s">
        <v>444</v>
      </c>
      <c r="C14" s="62"/>
      <c r="D14" s="62"/>
    </row>
    <row r="15" customFormat="false" ht="27.75" hidden="false" customHeight="true" outlineLevel="0" collapsed="false">
      <c r="B15" s="62" t="s">
        <v>445</v>
      </c>
      <c r="C15" s="62"/>
      <c r="D15" s="62"/>
    </row>
    <row r="16" customFormat="false" ht="27.75" hidden="false" customHeight="true" outlineLevel="0" collapsed="false">
      <c r="B16" s="62" t="s">
        <v>446</v>
      </c>
      <c r="C16" s="62"/>
      <c r="D16" s="62"/>
    </row>
    <row r="17" customFormat="false" ht="27.75" hidden="false" customHeight="true" outlineLevel="0" collapsed="false">
      <c r="B17" s="62" t="s">
        <v>447</v>
      </c>
      <c r="C17" s="62"/>
      <c r="D17" s="62"/>
    </row>
    <row r="18" customFormat="false" ht="27.75" hidden="false" customHeight="true" outlineLevel="0" collapsed="false">
      <c r="B18" s="62" t="s">
        <v>448</v>
      </c>
      <c r="C18" s="62"/>
      <c r="D18" s="62"/>
    </row>
    <row r="19" customFormat="false" ht="27.75" hidden="false" customHeight="true" outlineLevel="0" collapsed="false">
      <c r="B19" s="62" t="s">
        <v>449</v>
      </c>
      <c r="C19" s="62"/>
      <c r="D19" s="62"/>
    </row>
    <row r="20" customFormat="false" ht="27.75" hidden="false" customHeight="true" outlineLevel="0" collapsed="false">
      <c r="B20" s="62" t="s">
        <v>450</v>
      </c>
      <c r="C20" s="62"/>
      <c r="D20" s="62"/>
    </row>
    <row r="21" customFormat="false" ht="27.75" hidden="false" customHeight="true" outlineLevel="0" collapsed="false">
      <c r="B21" s="62" t="s">
        <v>451</v>
      </c>
      <c r="C21" s="62"/>
      <c r="D21" s="62"/>
    </row>
  </sheetData>
  <mergeCells count="9"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2026-10-04T19:33:12Z</dcterms:created>
  <dc:creator>Let's Talk Business Plans</dc:creator>
  <dc:description/>
  <dc:language>en-US</dc:language>
  <cp:lastModifiedBy/>
  <dcterms:modified xsi:type="dcterms:W3CDTF">2026-10-04T19:33:12Z</dcterms:modified>
  <cp:revision>0</cp:revision>
  <dc:subject/>
  <dc:title>Restaurant Financial Model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