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1.xml" ContentType="application/vnd.openxmlformats-officedocument.spreadsheetml.worksheet+xml"/>
  <Override PartName="/xl/worksheets/sheet6.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Assumptions" sheetId="2" state="visible" r:id="rId4"/>
    <sheet name="Revenue" sheetId="3" state="visible" r:id="rId5"/>
    <sheet name="Direct Costs" sheetId="4" state="visible" r:id="rId6"/>
    <sheet name="Payroll" sheetId="5" state="visible" r:id="rId7"/>
    <sheet name="OpEx" sheetId="6" state="visible" r:id="rId8"/>
    <sheet name="P&amp;L" sheetId="7" state="visible" r:id="rId9"/>
    <sheet name="Cash Flow" sheetId="8" state="visible" r:id="rId10"/>
    <sheet name="Break-Even" sheetId="9" state="visible" r:id="rId11"/>
    <sheet name="Startup &amp; Funding" sheetId="10" state="visible" r:id="rId12"/>
    <sheet name="Loan" sheetId="11" state="visible" r:id="rId13"/>
    <sheet name="Balance Sheet" sheetId="12" state="visible" r:id="rId14"/>
    <sheet name="Key Ratios" sheetId="13" state="visible" r:id="rId15"/>
    <sheet name="Plan Outline" sheetId="14" state="visible" r:id="rId16"/>
    <sheet name="Sources &amp; Notes" sheetId="15" state="visible" r:id="rId17"/>
  </sheets>
  <definedNames>
    <definedName function="false" hidden="false" localSheetId="11" name="_xlnm.Print_Titles" vbProcedure="false">'Balance Sheet'!$A:$B</definedName>
    <definedName function="false" hidden="false" localSheetId="7" name="_xlnm.Print_Titles" vbProcedure="false">'Cash Flow'!$A:$B</definedName>
    <definedName function="false" hidden="false" localSheetId="3" name="_xlnm.Print_Titles" vbProcedure="false">'Direct Costs'!$A:$B</definedName>
    <definedName function="false" hidden="false" localSheetId="5" name="_xlnm.Print_Titles" vbProcedure="false">OpEx!$A:$B</definedName>
    <definedName function="false" hidden="false" localSheetId="6" name="_xlnm.Print_Titles" vbProcedure="false">'P&amp;L'!$A:$B</definedName>
    <definedName function="false" hidden="false" localSheetId="4" name="_xlnm.Print_Titles" vbProcedure="false">Payroll!$A:$B</definedName>
    <definedName function="false" hidden="false" localSheetId="2" name="_xlnm.Print_Titles" vbProcedure="false">Revenue!$A:$B</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<sst xmlns="http://schemas.openxmlformats.org/spreadsheetml/2006/main" count="828" uniqueCount="521">
  <si>
    <t xml:space="preserve">Small Business Financial Plan — 5-year monthly projection</t>
  </si>
  <si>
    <t xml:space="preserve">From Let's Talk Business Plans (letstalkbusinessplans.com). Free to use for your own business plan or loan request.</t>
  </si>
  <si>
    <t xml:space="preserve">Example inputs</t>
  </si>
  <si>
    <t xml:space="preserve">These are example inputs for a hypothetical business. They are not industry averages and not a real business. Example — replace with your numbers.</t>
  </si>
  <si>
    <t xml:space="preserve">How to use it</t>
  </si>
  <si>
    <t xml:space="preserve">Step 1</t>
  </si>
  <si>
    <t xml:space="preserve">Open the Assumptions tab. Change only the yellow cells with blue text. Work from top to bottom.</t>
  </si>
  <si>
    <t xml:space="preserve">Step 2</t>
  </si>
  <si>
    <t xml:space="preserve">Enter your revenue lines: what you sell, how many units or customers a month, the price, growth and direct cost %. Then set the ramp-up and seasonality.</t>
  </si>
  <si>
    <t xml:space="preserve">Step 3</t>
  </si>
  <si>
    <t xml:space="preserve">Enter the roles you will pay, with start months, and your operating costs from real quotes and your lease.</t>
  </si>
  <si>
    <t xml:space="preserve">Step 4</t>
  </si>
  <si>
    <t xml:space="preserve">Enter every startup cost and how you will pay for it (loan, owner equity, investor equity).</t>
  </si>
  <si>
    <t xml:space="preserve">Step 5</t>
  </si>
  <si>
    <t xml:space="preserve">Check Startup &amp; Funding: sources must pay for all uses. Then check that every model check on Key Ratios reads OK.</t>
  </si>
  <si>
    <t xml:space="preserve">Step 6</t>
  </si>
  <si>
    <t xml:space="preserve">Read P&amp;L, Cash Flow, Balance Sheet, Break-Even and Key Ratios. If the lowest month-end cash goes below zero, you need more working capital.</t>
  </si>
  <si>
    <t xml:space="preserve">Step 7</t>
  </si>
  <si>
    <t xml:space="preserve">Test 'what if': lower prices or units, raise costs, change the loan, and watch break-even, DSCR and cash move. Then use Plan Outline to put the numbers into your written plan.</t>
  </si>
  <si>
    <t xml:space="preserve">Colour key</t>
  </si>
  <si>
    <t xml:space="preserve">1,000</t>
  </si>
  <si>
    <t xml:space="preserve">Input — yours to change (Assumptions tab only)</t>
  </si>
  <si>
    <t xml:space="preserve">Formula — calculated, do not type over</t>
  </si>
  <si>
    <t xml:space="preserve">Formula that links to another tab</t>
  </si>
  <si>
    <t xml:space="preserve">Tabs</t>
  </si>
  <si>
    <t xml:space="preserve">Assumptions</t>
  </si>
  <si>
    <t xml:space="preserve">Every input: revenue lines, ramp-up, seasonality, payroll roles, startup costs, operating costs, financing.</t>
  </si>
  <si>
    <t xml:space="preserve">Revenue</t>
  </si>
  <si>
    <t xml:space="preserve">60 months of units, prices and sales for up to 5 revenue lines; annual totals at the right.</t>
  </si>
  <si>
    <t xml:space="preserve">Direct Costs</t>
  </si>
  <si>
    <t xml:space="preserve">Direct cost of each revenue line, gross profit and gross margin.</t>
  </si>
  <si>
    <t xml:space="preserve">Payroll</t>
  </si>
  <si>
    <t xml:space="preserve">Up to 10 roles from their start months, employer FICA and other payroll costs.</t>
  </si>
  <si>
    <t xml:space="preserve">OpEx</t>
  </si>
  <si>
    <t xml:space="preserve">Fixed and variable operating expenses, plus the depreciation schedule.</t>
  </si>
  <si>
    <t xml:space="preserve">P&amp;L</t>
  </si>
  <si>
    <t xml:space="preserve">Monthly and annual profit and loss with margins.</t>
  </si>
  <si>
    <t xml:space="preserve">Cash Flow</t>
  </si>
  <si>
    <t xml:space="preserve">Monthly cash from opening-day cash; flags months that are SHORT or LOW.</t>
  </si>
  <si>
    <t xml:space="preserve">Break-Even</t>
  </si>
  <si>
    <t xml:space="preserve">Sales per month and per year needed to break even, on a profit basis and a cash basis.</t>
  </si>
  <si>
    <t xml:space="preserve">Startup &amp; Funding</t>
  </si>
  <si>
    <t xml:space="preserve">Sources and uses of funds; flags a funding gap; cash at opening.</t>
  </si>
  <si>
    <t xml:space="preserve">Loan</t>
  </si>
  <si>
    <t xml:space="preserve">Amortization schedule: payment, interest, principal, balance; debt service by year.</t>
  </si>
  <si>
    <t xml:space="preserve">Balance Sheet</t>
  </si>
  <si>
    <t xml:space="preserve">Assets, liabilities and equity at every month-end, with a balance check.</t>
  </si>
  <si>
    <t xml:space="preserve">Key Ratios</t>
  </si>
  <si>
    <t xml:space="preserve">Margins, DSCR, cash low points by year, plus nine automatic model checks.</t>
  </si>
  <si>
    <t xml:space="preserve">Plan Outline</t>
  </si>
  <si>
    <t xml:space="preserve">Which workbook numbers go into each section of your written business plan.</t>
  </si>
  <si>
    <t xml:space="preserve">Sources &amp; Notes</t>
  </si>
  <si>
    <t xml:space="preserve">Where the one published rate comes from, where to research your own numbers, and known limitations.</t>
  </si>
  <si>
    <t xml:space="preserve">Example results (live)</t>
  </si>
  <si>
    <t xml:space="preserve">Year 1</t>
  </si>
  <si>
    <t xml:space="preserve">Year 2</t>
  </si>
  <si>
    <t xml:space="preserve">Year 3</t>
  </si>
  <si>
    <t xml:space="preserve">Sales</t>
  </si>
  <si>
    <t xml:space="preserve">Net income</t>
  </si>
  <si>
    <t xml:space="preserve">DSCR</t>
  </si>
  <si>
    <t xml:space="preserve">Lowest month-end cash</t>
  </si>
  <si>
    <t xml:space="preserve">Break-even sales per month, profit basis</t>
  </si>
  <si>
    <t xml:space="preserve">Year-1 cost levels</t>
  </si>
  <si>
    <t xml:space="preserve">Break-even sales per month, cash basis</t>
  </si>
  <si>
    <t xml:space="preserve">Funding surplus / (gap)</t>
  </si>
  <si>
    <t xml:space="preserve">Model checks</t>
  </si>
  <si>
    <t xml:space="preserve">Important</t>
  </si>
  <si>
    <t xml:space="preserve">A planning tool, not tax, legal or lending advice. Results are only as good as the inputs. Built as an .xlsx file using only standard functions. Recalculated and checked in LibreOffice Calc; not yet tested in Microsoft Excel, Google Sheets or other spreadsheet apps.</t>
  </si>
  <si>
    <t xml:space="preserve">Assumptions — the only tab you need to edit</t>
  </si>
  <si>
    <t xml:space="preserve">Yellow cells with blue text are inputs. Every other tab is calculated from them. Values shown are example inputs for a hypothetical small business (two service lines and one product line).</t>
  </si>
  <si>
    <t xml:space="preserve">Input</t>
  </si>
  <si>
    <t xml:space="preserve">means an input cell</t>
  </si>
  <si>
    <t xml:space="preserve">1. General</t>
  </si>
  <si>
    <t xml:space="preserve">Value</t>
  </si>
  <si>
    <t xml:space="preserve">Unit</t>
  </si>
  <si>
    <t xml:space="preserve">Note / source</t>
  </si>
  <si>
    <t xml:space="preserve">Business description (label only)</t>
  </si>
  <si>
    <t xml:space="preserve">Example inputs (hypothetical small business)</t>
  </si>
  <si>
    <t xml:space="preserve">Example — replace with your numbers</t>
  </si>
  <si>
    <t xml:space="preserve">First month of operations</t>
  </si>
  <si>
    <t xml:space="preserve">date</t>
  </si>
  <si>
    <t xml:space="preserve">Enter the 1st of your first month of operations. Example — replace with your numbers</t>
  </si>
  <si>
    <t xml:space="preserve">Currency label</t>
  </si>
  <si>
    <t xml:space="preserve">US dollars ($)</t>
  </si>
  <si>
    <t xml:space="preserve">A label only: number formats in this workbook show $. Example — replace with your numbers</t>
  </si>
  <si>
    <t xml:space="preserve">2. Revenue lines (up to 5; leave unused lines at 0)</t>
  </si>
  <si>
    <t xml:space="preserve">Units are whatever you sell: jobs, customers on a plan, items. Volume is the full monthly volume in Year 1, before the ramp-up (section 3) and seasonality (section 4).</t>
  </si>
  <si>
    <t xml:space="preserve">Revenue line name</t>
  </si>
  <si>
    <t xml:space="preserve">Units or customers per month (full volume, Year 1)</t>
  </si>
  <si>
    <t xml:space="preserve">Price per unit (Year 1)</t>
  </si>
  <si>
    <t xml:space="preserve">Annual unit growth (each year from Year 2)</t>
  </si>
  <si>
    <t xml:space="preserve">Annual price increase (each year from Year 2)</t>
  </si>
  <si>
    <t xml:space="preserve">Direct cost, % of this line's sales</t>
  </si>
  <si>
    <t xml:space="preserve">Service line A — projects (example)</t>
  </si>
  <si>
    <t xml:space="preserve">Service line B — monthly plans (example)</t>
  </si>
  <si>
    <t xml:space="preserve">Product line (example)</t>
  </si>
  <si>
    <t xml:space="preserve">Revenue line 4 (not used)</t>
  </si>
  <si>
    <t xml:space="preserve">Example — replace with your numbers (unused line: leave at 0 or fill in)</t>
  </si>
  <si>
    <t xml:space="preserve">Revenue line 5 (not used)</t>
  </si>
  <si>
    <t xml:space="preserve">3. Ramp-up (% of full volume in the first six months; all revenue lines)</t>
  </si>
  <si>
    <t xml:space="preserve">Month 1 of operations</t>
  </si>
  <si>
    <t xml:space="preserve">%</t>
  </si>
  <si>
    <t xml:space="preserve">Month 2 of operations</t>
  </si>
  <si>
    <t xml:space="preserve">Month 3 of operations</t>
  </si>
  <si>
    <t xml:space="preserve">Month 4 of operations</t>
  </si>
  <si>
    <t xml:space="preserve">Month 5 of operations</t>
  </si>
  <si>
    <t xml:space="preserve">Month 6 of operations</t>
  </si>
  <si>
    <t xml:space="preserve">Month 7 onward runs at 100% of full volume.</t>
  </si>
  <si>
    <t xml:space="preserve">4. Seasonality (volume by calendar month; 100% = an average month)</t>
  </si>
  <si>
    <t xml:space="preserve">January</t>
  </si>
  <si>
    <t xml:space="preserve">February</t>
  </si>
  <si>
    <t xml:space="preserve">March</t>
  </si>
  <si>
    <t xml:space="preserve">April</t>
  </si>
  <si>
    <t xml:space="preserve">May</t>
  </si>
  <si>
    <t xml:space="preserve">June</t>
  </si>
  <si>
    <t xml:space="preserve">July</t>
  </si>
  <si>
    <t xml:space="preserve">August</t>
  </si>
  <si>
    <t xml:space="preserve">September</t>
  </si>
  <si>
    <t xml:space="preserve">October</t>
  </si>
  <si>
    <t xml:space="preserve">November</t>
  </si>
  <si>
    <t xml:space="preserve">December</t>
  </si>
  <si>
    <t xml:space="preserve">Average of the 12 months (keep near 100%)</t>
  </si>
  <si>
    <t xml:space="preserve">If this is far from 100%, seasonality is raising or lowering your annual totals.</t>
  </si>
  <si>
    <t xml:space="preserve">5. Payroll (up to 10 roles; leave unused roles at 0)</t>
  </si>
  <si>
    <t xml:space="preserve">Salaries are in Year-1 dollars. Each role is paid from its start month; raises apply at the start of each model year (Year 2 onward). Start month 1 = first month of operations, 60 = the last.</t>
  </si>
  <si>
    <t xml:space="preserve">Role</t>
  </si>
  <si>
    <t xml:space="preserve">Headcount (people or full-time equivalents)</t>
  </si>
  <si>
    <t xml:space="preserve">Annual salary per person (Year-1 dollars)</t>
  </si>
  <si>
    <t xml:space="preserve">Start month (1-60)</t>
  </si>
  <si>
    <t xml:space="preserve">Annual raise</t>
  </si>
  <si>
    <t xml:space="preserve">Owner-manager (example)</t>
  </si>
  <si>
    <t xml:space="preserve">Service staff (example)</t>
  </si>
  <si>
    <t xml:space="preserve">Office and sales assistant (example)</t>
  </si>
  <si>
    <t xml:space="preserve">Additional service staff (example)</t>
  </si>
  <si>
    <t xml:space="preserve">Role 5 (not used)</t>
  </si>
  <si>
    <t xml:space="preserve">Example — replace with your numbers (unused role: leave at 0 or fill in)</t>
  </si>
  <si>
    <t xml:space="preserve">Role 6 (not used)</t>
  </si>
  <si>
    <t xml:space="preserve">Role 7 (not used)</t>
  </si>
  <si>
    <t xml:space="preserve">Role 8 (not used)</t>
  </si>
  <si>
    <t xml:space="preserve">Role 9 (not used)</t>
  </si>
  <si>
    <t xml:space="preserve">Role 10 (not used)</t>
  </si>
  <si>
    <t xml:space="preserve">5b. Payroll taxes and other payroll costs</t>
  </si>
  <si>
    <t xml:space="preserve">Employer Social Security + Medicare (FICA) tax</t>
  </si>
  <si>
    <t xml:space="preserve">% of wages</t>
  </si>
  <si>
    <t xml:space="preserve">Federal rate: 6.2% Social Security + 1.45% Medicare paid by the employer (IRS Topic no. 751). See Sources &amp; Notes.</t>
  </si>
  <si>
    <t xml:space="preserve">Other payroll costs: benefits, workers' comp, unemployment insurance</t>
  </si>
  <si>
    <t xml:space="preserve">Example — replace with your numbers. Get quotes from your insurer and payroll provider.</t>
  </si>
  <si>
    <t xml:space="preserve">6. Startup costs (uses of funds) and depreciation</t>
  </si>
  <si>
    <t xml:space="preserve">Equipment</t>
  </si>
  <si>
    <t xml:space="preserve">$</t>
  </si>
  <si>
    <t xml:space="preserve">Furniture and fixtures</t>
  </si>
  <si>
    <t xml:space="preserve">Leasehold improvements</t>
  </si>
  <si>
    <t xml:space="preserve">Vehicles</t>
  </si>
  <si>
    <t xml:space="preserve">Computers and software</t>
  </si>
  <si>
    <t xml:space="preserve">Initial inventory</t>
  </si>
  <si>
    <t xml:space="preserve">Example — replace with your numbers. Held at this value on the balance sheet (replaced as it is sold).</t>
  </si>
  <si>
    <t xml:space="preserve">Deposits (rent, utilities)</t>
  </si>
  <si>
    <t xml:space="preserve">Example — replace with your numbers. Held on the balance sheet; not refunded in the 5 years.</t>
  </si>
  <si>
    <t xml:space="preserve">Licenses and permits</t>
  </si>
  <si>
    <t xml:space="preserve">Example — replace with your numbers. Pre-opening cost: in uses of funds, not in the P&amp;L.</t>
  </si>
  <si>
    <t xml:space="preserve">Legal and professional fees</t>
  </si>
  <si>
    <t xml:space="preserve">Pre-opening marketing</t>
  </si>
  <si>
    <t xml:space="preserve">Pre-opening payroll and training</t>
  </si>
  <si>
    <t xml:space="preserve">Other startup costs</t>
  </si>
  <si>
    <t xml:space="preserve">Working-capital reserve (cash in the bank on opening day)</t>
  </si>
  <si>
    <t xml:space="preserve">Depreciation life — equipment</t>
  </si>
  <si>
    <t xml:space="preserve">years</t>
  </si>
  <si>
    <t xml:space="preserve">Example — replace with your numbers. Straight-line, for planning only; tax depreciation rules differ — ask your accountant.</t>
  </si>
  <si>
    <t xml:space="preserve">Depreciation life — furniture and fixtures</t>
  </si>
  <si>
    <t xml:space="preserve">Depreciation life — leasehold improvements</t>
  </si>
  <si>
    <t xml:space="preserve">Depreciation life — vehicles</t>
  </si>
  <si>
    <t xml:space="preserve">Depreciation life — computers and software</t>
  </si>
  <si>
    <t xml:space="preserve">7. Operating expenses</t>
  </si>
  <si>
    <t xml:space="preserve">Rent per month (Year 1)</t>
  </si>
  <si>
    <t xml:space="preserve">$/month</t>
  </si>
  <si>
    <t xml:space="preserve">Example — replace with your numbers. Use the figure in your lease.</t>
  </si>
  <si>
    <t xml:space="preserve">Utilities per month</t>
  </si>
  <si>
    <t xml:space="preserve">Insurance per month</t>
  </si>
  <si>
    <t xml:space="preserve">Example — replace with your numbers. Get quotes.</t>
  </si>
  <si>
    <t xml:space="preserve">Software and subscriptions per month</t>
  </si>
  <si>
    <t xml:space="preserve">Accounting, legal and other professional fees per month</t>
  </si>
  <si>
    <t xml:space="preserve">Marketing — fixed amount per month</t>
  </si>
  <si>
    <t xml:space="preserve">Vehicle and travel per month</t>
  </si>
  <si>
    <t xml:space="preserve">Other fixed costs per month</t>
  </si>
  <si>
    <t xml:space="preserve">Annual rent increase (each year from Year 2)</t>
  </si>
  <si>
    <t xml:space="preserve">Annual increase in the other fixed costs (each year from Year 2)</t>
  </si>
  <si>
    <t xml:space="preserve">Card and payment processing fees, % of sales</t>
  </si>
  <si>
    <t xml:space="preserve">% of sales</t>
  </si>
  <si>
    <t xml:space="preserve">Example — replace with your numbers. Use your processor's rate.</t>
  </si>
  <si>
    <t xml:space="preserve">Marketing — % of sales</t>
  </si>
  <si>
    <t xml:space="preserve">Other variable costs, % of sales</t>
  </si>
  <si>
    <t xml:space="preserve">8. Financing, taxes and cash warning</t>
  </si>
  <si>
    <t xml:space="preserve">Loan amount</t>
  </si>
  <si>
    <t xml:space="preserve">Example — replace with your numbers. SBA 7(a) loan terms: see Sources &amp; Notes.</t>
  </si>
  <si>
    <t xml:space="preserve">Loan interest rate (annual)</t>
  </si>
  <si>
    <t xml:space="preserve">Example — replace with your numbers. Use your lender's quote.</t>
  </si>
  <si>
    <t xml:space="preserve">Loan term</t>
  </si>
  <si>
    <t xml:space="preserve">Example — replace with your numbers. Level monthly payments start in the first month of operations.</t>
  </si>
  <si>
    <t xml:space="preserve">Owner equity (cash invested by owners)</t>
  </si>
  <si>
    <t xml:space="preserve">Investor equity</t>
  </si>
  <si>
    <t xml:space="preserve">Owner draws per month (cash taken out)</t>
  </si>
  <si>
    <t xml:space="preserve">Example — replace with your numbers. The example pays the owner a salary on Payroll, so draws are 0.</t>
  </si>
  <si>
    <t xml:space="preserve">Income tax rate on profit (0% if taxed personally as a pass-through)</t>
  </si>
  <si>
    <t xml:space="preserve">Example — replace with your numbers. The example uses 0% (pass-through). Ask your accountant; applied to positive monthly pre-tax profit only.</t>
  </si>
  <si>
    <t xml:space="preserve">Low-cash warning level — % of the working-capital reserve</t>
  </si>
  <si>
    <t xml:space="preserve">Example — replace with your numbers. Cash Flow flags a month LOW when ending cash falls below this share of the reserve, SHORT below $0.</t>
  </si>
  <si>
    <t xml:space="preserve">9. Helper values (calculated — do not edit)</t>
  </si>
  <si>
    <t xml:space="preserve">Variable operating costs, % of sales</t>
  </si>
  <si>
    <t xml:space="preserve">Card fees + marketing % + other variable %</t>
  </si>
  <si>
    <t xml:space="preserve">Total startup uses of funds</t>
  </si>
  <si>
    <t xml:space="preserve">Section 6 lines</t>
  </si>
  <si>
    <t xml:space="preserve">Fixed assets at cost (the five depreciated lines)</t>
  </si>
  <si>
    <t xml:space="preserve">Pre-opening costs (not in the P&amp;L)</t>
  </si>
  <si>
    <t xml:space="preserve">Total sources of funds</t>
  </si>
  <si>
    <t xml:space="preserve">Revenue — 60 months, rolled up to 5 years</t>
  </si>
  <si>
    <t xml:space="preserve">Units = full monthly volume × ramp-up × seasonality × unit growth. Sales = units × price (price rises each year by the line's price increase).</t>
  </si>
  <si>
    <t xml:space="preserve">Month #</t>
  </si>
  <si>
    <t xml:space="preserve">Annual</t>
  </si>
  <si>
    <t xml:space="preserve">Year</t>
  </si>
  <si>
    <t xml:space="preserve">Month</t>
  </si>
  <si>
    <t xml:space="preserve">Year 4</t>
  </si>
  <si>
    <t xml:space="preserve">Year 5</t>
  </si>
  <si>
    <t xml:space="preserve">Volume drivers (all revenue lines)</t>
  </si>
  <si>
    <t xml:space="preserve">Ramp-up factor</t>
  </si>
  <si>
    <t xml:space="preserve">Seasonality factor</t>
  </si>
  <si>
    <t xml:space="preserve">Units or customers</t>
  </si>
  <si>
    <t xml:space="preserve">units</t>
  </si>
  <si>
    <t xml:space="preserve">Price per unit</t>
  </si>
  <si>
    <t xml:space="preserve">$/unit</t>
  </si>
  <si>
    <t xml:space="preserve">TOTAL SALES</t>
  </si>
  <si>
    <t xml:space="preserve">Sales growth vs the same month a year earlier</t>
  </si>
  <si>
    <t xml:space="preserve">Direct costs and gross profit</t>
  </si>
  <si>
    <t xml:space="preserve">Direct cost of each revenue line = that line's sales × its direct-cost % (Assumptions section 2).</t>
  </si>
  <si>
    <t xml:space="preserve">TOTAL DIRECT COSTS</t>
  </si>
  <si>
    <t xml:space="preserve">Total sales (from Revenue)</t>
  </si>
  <si>
    <t xml:space="preserve">GROSS PROFIT</t>
  </si>
  <si>
    <t xml:space="preserve">Gross margin (gross profit ÷ sales)</t>
  </si>
  <si>
    <t xml:space="preserve">Each role: headcount × annual salary ÷ 12 from its start month, raised at the start of each model year. Employer FICA and other payroll costs are added on top.</t>
  </si>
  <si>
    <t xml:space="preserve">Salaries by role</t>
  </si>
  <si>
    <t xml:space="preserve">Total salaries</t>
  </si>
  <si>
    <t xml:space="preserve">Employer FICA (Social Security + Medicare)</t>
  </si>
  <si>
    <t xml:space="preserve">Other payroll costs (benefits, workers' comp, unemployment insurance)</t>
  </si>
  <si>
    <t xml:space="preserve">TOTAL PAYROLL COST</t>
  </si>
  <si>
    <t xml:space="preserve">Headcount on payroll</t>
  </si>
  <si>
    <t xml:space="preserve">people</t>
  </si>
  <si>
    <t xml:space="preserve">Payroll % of sales</t>
  </si>
  <si>
    <t xml:space="preserve">Operating expenses and depreciation</t>
  </si>
  <si>
    <t xml:space="preserve">Fixed monthly costs rise each year by the increases in Assumptions section 7; variable costs follow sales. Depreciation (non-cash) is listed separately below and is not part of operating expenses.</t>
  </si>
  <si>
    <t xml:space="preserve">Total sales (for % of sales costs)</t>
  </si>
  <si>
    <t xml:space="preserve">Rent increase factor</t>
  </si>
  <si>
    <t xml:space="preserve">Other fixed-cost increase factor</t>
  </si>
  <si>
    <t xml:space="preserve">Fixed operating expenses</t>
  </si>
  <si>
    <t xml:space="preserve">Rent</t>
  </si>
  <si>
    <t xml:space="preserve">Utilities</t>
  </si>
  <si>
    <t xml:space="preserve">Insurance</t>
  </si>
  <si>
    <t xml:space="preserve">Software and subscriptions</t>
  </si>
  <si>
    <t xml:space="preserve">Professional fees</t>
  </si>
  <si>
    <t xml:space="preserve">Marketing (fixed)</t>
  </si>
  <si>
    <t xml:space="preserve">Vehicle and travel</t>
  </si>
  <si>
    <t xml:space="preserve">Other fixed costs</t>
  </si>
  <si>
    <t xml:space="preserve">Total fixed operating expenses</t>
  </si>
  <si>
    <t xml:space="preserve">Variable operating expenses</t>
  </si>
  <si>
    <t xml:space="preserve">Card and payment processing fees</t>
  </si>
  <si>
    <t xml:space="preserve">Marketing (% of sales)</t>
  </si>
  <si>
    <t xml:space="preserve">Other variable costs</t>
  </si>
  <si>
    <t xml:space="preserve">Total variable operating expenses</t>
  </si>
  <si>
    <t xml:space="preserve">TOTAL OPERATING EXPENSES (fixed + variable)</t>
  </si>
  <si>
    <t xml:space="preserve">Operating expenses % of sales</t>
  </si>
  <si>
    <t xml:space="preserve">Marketing, all (fixed + % of sales)</t>
  </si>
  <si>
    <t xml:space="preserve">Depreciation schedule (non-cash, straight-line; feeds the P&amp;L below EBITDA and the Balance Sheet)</t>
  </si>
  <si>
    <t xml:space="preserve">TOTAL DEPRECIATION</t>
  </si>
  <si>
    <t xml:space="preserve">Profit and loss</t>
  </si>
  <si>
    <t xml:space="preserve">Every line links to the Revenue, Direct Costs, Payroll, OpEx and Loan tabs.</t>
  </si>
  <si>
    <t xml:space="preserve">Direct costs</t>
  </si>
  <si>
    <t xml:space="preserve">Payroll (salaries, payroll taxes and other payroll costs)</t>
  </si>
  <si>
    <t xml:space="preserve">Operating expenses</t>
  </si>
  <si>
    <t xml:space="preserve">EBITDA (operating profit before interest, taxes, depreciation)</t>
  </si>
  <si>
    <t xml:space="preserve">Depreciation</t>
  </si>
  <si>
    <t xml:space="preserve">Loan interest</t>
  </si>
  <si>
    <t xml:space="preserve">PROFIT BEFORE TAX</t>
  </si>
  <si>
    <t xml:space="preserve">Income tax</t>
  </si>
  <si>
    <t xml:space="preserve">NET INCOME</t>
  </si>
  <si>
    <t xml:space="preserve">% of total sales</t>
  </si>
  <si>
    <t xml:space="preserve">Gross margin</t>
  </si>
  <si>
    <t xml:space="preserve">Payroll %</t>
  </si>
  <si>
    <t xml:space="preserve">Operating expenses %</t>
  </si>
  <si>
    <t xml:space="preserve">EBITDA margin</t>
  </si>
  <si>
    <t xml:space="preserve">Net margin</t>
  </si>
  <si>
    <t xml:space="preserve">Cash flow</t>
  </si>
  <si>
    <t xml:space="preserve">Starts with opening-day cash from Startup &amp; Funding. No receivables or payables timing: cash follows profit in the same month. Watch the lowest month-end balance.</t>
  </si>
  <si>
    <t xml:space="preserve">Add back depreciation (non-cash)</t>
  </si>
  <si>
    <t xml:space="preserve">Cash from operations</t>
  </si>
  <si>
    <t xml:space="preserve">Loan principal repaid</t>
  </si>
  <si>
    <t xml:space="preserve">Owner draws</t>
  </si>
  <si>
    <t xml:space="preserve">NET CHANGE IN CASH</t>
  </si>
  <si>
    <t xml:space="preserve">Beginning cash</t>
  </si>
  <si>
    <t xml:space="preserve">ENDING CASH</t>
  </si>
  <si>
    <t xml:space="preserve">Cash warning</t>
  </si>
  <si>
    <t xml:space="preserve">Loan balance (end of month)</t>
  </si>
  <si>
    <t xml:space="preserve">Break-even — sales per month and per year</t>
  </si>
  <si>
    <t xml:space="preserve">Year-1 cost levels (monthly averages). Direct costs and variable operating costs move with sales; payroll and the other costs are treated as fixed.</t>
  </si>
  <si>
    <t xml:space="preserve">Contribution margin</t>
  </si>
  <si>
    <t xml:space="preserve">Direct costs, % of sales (Year-1 mix of revenue lines)</t>
  </si>
  <si>
    <t xml:space="preserve">Year-1 direct costs ÷ Year-1 sales (0 if there are no sales)</t>
  </si>
  <si>
    <t xml:space="preserve">Variable operating expenses, % of sales</t>
  </si>
  <si>
    <t xml:space="preserve">Contribution margin (what each sales dollar keeps)</t>
  </si>
  <si>
    <t xml:space="preserve">Fixed costs per month (Year-1 averages)</t>
  </si>
  <si>
    <t xml:space="preserve">Payroll incl. payroll taxes and other payroll costs</t>
  </si>
  <si>
    <t xml:space="preserve">Year-1 payroll ÷ 12 (roles that start later in Year 1 count only from their start month)</t>
  </si>
  <si>
    <t xml:space="preserve">Rent, utilities, insurance, software, fees, fixed marketing, vehicle, other</t>
  </si>
  <si>
    <t xml:space="preserve">Operating fixed costs (cash)</t>
  </si>
  <si>
    <t xml:space="preserve">Year-1 depreciation ÷ 12 (non-cash)</t>
  </si>
  <si>
    <t xml:space="preserve">Year-1 interest ÷ 12</t>
  </si>
  <si>
    <t xml:space="preserve">Loan payments (interest + principal)</t>
  </si>
  <si>
    <t xml:space="preserve">Year-1 debt service ÷ 12</t>
  </si>
  <si>
    <t xml:space="preserve">Assumptions section 8</t>
  </si>
  <si>
    <t xml:space="preserve">Break-even point</t>
  </si>
  <si>
    <t xml:space="preserve">Profit basis</t>
  </si>
  <si>
    <t xml:space="preserve">Cash basis</t>
  </si>
  <si>
    <t xml:space="preserve">Profit basis: net profit before tax = 0. Cash basis: also pays loan principal and owner draws; depreciation (non-cash) is left out.</t>
  </si>
  <si>
    <t xml:space="preserve">Break-even sales per month</t>
  </si>
  <si>
    <t xml:space="preserve">Fixed costs ÷ contribution margin</t>
  </si>
  <si>
    <t xml:space="preserve">Break-even sales per year</t>
  </si>
  <si>
    <t xml:space="preserve">Status</t>
  </si>
  <si>
    <t xml:space="preserve">Compared with your plan (Year 1)</t>
  </si>
  <si>
    <t xml:space="preserve">Planned Year-1 sales (P&amp;L)</t>
  </si>
  <si>
    <t xml:space="preserve">Planned average sales per month, Year 1</t>
  </si>
  <si>
    <t xml:space="preserve">Margin of safety (how far Year-1 sales can fall before break-even)</t>
  </si>
  <si>
    <t xml:space="preserve">A negative margin of safety means planned Year-1 sales are below break-even. Year 1 includes the ramp-up months.</t>
  </si>
  <si>
    <t xml:space="preserve">Startup costs and funding — sources and uses</t>
  </si>
  <si>
    <t xml:space="preserve">Uses come from Assumptions section 6; sources from section 8. Sources must pay for all uses before you open.</t>
  </si>
  <si>
    <t xml:space="preserve">USES OF FUNDS</t>
  </si>
  <si>
    <t xml:space="preserve">Amount</t>
  </si>
  <si>
    <t xml:space="preserve">% of total</t>
  </si>
  <si>
    <t xml:space="preserve">Treatment in this model</t>
  </si>
  <si>
    <t xml:space="preserve">Depreciated</t>
  </si>
  <si>
    <t xml:space="preserve">Held on the balance sheet</t>
  </si>
  <si>
    <t xml:space="preserve">Pre-opening cost (not in the P&amp;L)</t>
  </si>
  <si>
    <t xml:space="preserve">Working-capital reserve</t>
  </si>
  <si>
    <t xml:space="preserve">Cash in the bank on opening day</t>
  </si>
  <si>
    <t xml:space="preserve">TOTAL USES</t>
  </si>
  <si>
    <t xml:space="preserve">SOURCES OF FUNDS</t>
  </si>
  <si>
    <t xml:space="preserve">Owner equity</t>
  </si>
  <si>
    <t xml:space="preserve">TOTAL SOURCES</t>
  </si>
  <si>
    <t xml:space="preserve">Surplus / (shortfall): sources minus uses</t>
  </si>
  <si>
    <t xml:space="preserve">Cash on hand at opening (working-capital reserve + surplus or − shortfall)</t>
  </si>
  <si>
    <t xml:space="preserve">Funding ratios</t>
  </si>
  <si>
    <t xml:space="preserve">Equity (owner + investor) as % of total uses</t>
  </si>
  <si>
    <t xml:space="preserve">Debt as % of total uses</t>
  </si>
  <si>
    <t xml:space="preserve">Lenders set their own equity requirements — ask yours before finalizing.</t>
  </si>
  <si>
    <t xml:space="preserve">Accounting treatment in this model</t>
  </si>
  <si>
    <t xml:space="preserve">• Equipment, furniture and fixtures, leasehold improvements, vehicles, and computers and software are depreciated straight-line over the lives on Assumptions section 6.</t>
  </si>
  <si>
    <t xml:space="preserve">• Licenses, legal and professional fees, pre-opening marketing, pre-opening payroll and other startup costs are spent before opening. They are not in the P&amp;L; on the Balance Sheet they reduce equity from day one.</t>
  </si>
  <si>
    <t xml:space="preserve">• Initial inventory and deposits stay on the balance sheet at their opening value (inventory is replaced as it is sold; deposits are not refunded within the 5 years).</t>
  </si>
  <si>
    <t xml:space="preserve">• The working-capital reserve is the cash in the bank on opening day.</t>
  </si>
  <si>
    <t xml:space="preserve">Loan amortization</t>
  </si>
  <si>
    <t xml:space="preserve">Fixed-rate loan, level monthly payments starting in the first month of operations. Driven by Assumptions section 8.</t>
  </si>
  <si>
    <t xml:space="preserve">Year 1 debt service</t>
  </si>
  <si>
    <t xml:space="preserve">Annual rate</t>
  </si>
  <si>
    <t xml:space="preserve">Year 2 debt service</t>
  </si>
  <si>
    <t xml:space="preserve">Term (months)</t>
  </si>
  <si>
    <t xml:space="preserve">Year 3 debt service</t>
  </si>
  <si>
    <t xml:space="preserve">Monthly payment</t>
  </si>
  <si>
    <t xml:space="preserve">Year 4 debt service</t>
  </si>
  <si>
    <t xml:space="preserve">Total interest over life</t>
  </si>
  <si>
    <t xml:space="preserve">Year 5 debt service</t>
  </si>
  <si>
    <t xml:space="preserve">Balance after Year 5</t>
  </si>
  <si>
    <t xml:space="preserve">Rows beyond the loan term show zero. The schedule runs for up to 30 years. The last scheduled payment clears any rounding left in the balance.</t>
  </si>
  <si>
    <t xml:space="preserve">Beginning balance</t>
  </si>
  <si>
    <t xml:space="preserve">Payment</t>
  </si>
  <si>
    <t xml:space="preserve">Interest</t>
  </si>
  <si>
    <t xml:space="preserve">Principal</t>
  </si>
  <si>
    <t xml:space="preserve">Ending balance</t>
  </si>
  <si>
    <t xml:space="preserve">Balance sheet — every month-end</t>
  </si>
  <si>
    <t xml:space="preserve">Assets = liabilities + equity at every month-end; the check row shows OK when the two sides agree within $1. The right-hand columns show each year-end.</t>
  </si>
  <si>
    <t xml:space="preserve">Year-end</t>
  </si>
  <si>
    <t xml:space="preserve">End Year 1</t>
  </si>
  <si>
    <t xml:space="preserve">End Year 2</t>
  </si>
  <si>
    <t xml:space="preserve">End Year 3</t>
  </si>
  <si>
    <t xml:space="preserve">End Year 4</t>
  </si>
  <si>
    <t xml:space="preserve">End Year 5</t>
  </si>
  <si>
    <t xml:space="preserve">Assets</t>
  </si>
  <si>
    <t xml:space="preserve">Cash</t>
  </si>
  <si>
    <t xml:space="preserve">Inventory (held at its opening value)</t>
  </si>
  <si>
    <t xml:space="preserve">Deposits</t>
  </si>
  <si>
    <t xml:space="preserve">Fixed assets at cost</t>
  </si>
  <si>
    <t xml:space="preserve">Less accumulated depreciation</t>
  </si>
  <si>
    <t xml:space="preserve">Net fixed assets</t>
  </si>
  <si>
    <t xml:space="preserve">TOTAL ASSETS</t>
  </si>
  <si>
    <t xml:space="preserve">Liabilities</t>
  </si>
  <si>
    <t xml:space="preserve">Loan balance</t>
  </si>
  <si>
    <t xml:space="preserve">TOTAL LIABILITIES</t>
  </si>
  <si>
    <t xml:space="preserve">Equity</t>
  </si>
  <si>
    <t xml:space="preserve">Owner equity contributed</t>
  </si>
  <si>
    <t xml:space="preserve">Investor equity contributed</t>
  </si>
  <si>
    <t xml:space="preserve">Pre-opening costs (spent before opening)</t>
  </si>
  <si>
    <t xml:space="preserve">Cumulative net income</t>
  </si>
  <si>
    <t xml:space="preserve">Cumulative owner draws</t>
  </si>
  <si>
    <t xml:space="preserve">TOTAL EQUITY</t>
  </si>
  <si>
    <t xml:space="preserve">TOTAL LIABILITIES AND EQUITY</t>
  </si>
  <si>
    <t xml:space="preserve">Difference (assets − liabilities − equity)</t>
  </si>
  <si>
    <t xml:space="preserve">Balance check</t>
  </si>
  <si>
    <t xml:space="preserve">Key ratios — check these before you talk to a lender or investor</t>
  </si>
  <si>
    <t xml:space="preserve">Calculated from the annual columns of the P&amp;L, Cash Flow, Payroll, OpEx and Loan tabs. No benchmarks are built in: compare with your lender's requirements and your own research.</t>
  </si>
  <si>
    <t xml:space="preserve">Measure</t>
  </si>
  <si>
    <t xml:space="preserve">How it is calculated / what it tells you</t>
  </si>
  <si>
    <t xml:space="preserve">Total sales</t>
  </si>
  <si>
    <t xml:space="preserve">P&amp;L total sales</t>
  </si>
  <si>
    <t xml:space="preserve">Sales growth vs prior year</t>
  </si>
  <si>
    <t xml:space="preserve">Year 1 has no prior year (shows -)</t>
  </si>
  <si>
    <t xml:space="preserve">(Sales − direct costs) ÷ sales</t>
  </si>
  <si>
    <t xml:space="preserve">All salaries, payroll taxes and other payroll costs ÷ sales</t>
  </si>
  <si>
    <t xml:space="preserve">Fixed + variable operating expenses ÷ sales</t>
  </si>
  <si>
    <t xml:space="preserve">EBITDA</t>
  </si>
  <si>
    <t xml:space="preserve">Operating profit before interest, taxes, depreciation</t>
  </si>
  <si>
    <t xml:space="preserve">EBITDA ÷ sales</t>
  </si>
  <si>
    <t xml:space="preserve">Bottom line of the P&amp;L</t>
  </si>
  <si>
    <t xml:space="preserve">Net income ÷ sales</t>
  </si>
  <si>
    <t xml:space="preserve">Annual debt service (loan payments)</t>
  </si>
  <si>
    <t xml:space="preserve">Interest + principal paid in the year</t>
  </si>
  <si>
    <t xml:space="preserve">Debt service coverage ratio (DSCR)</t>
  </si>
  <si>
    <t xml:space="preserve">In this template, DSCR = (EBITDA − income tax) ÷ annual debt service: how many times the year's operating cash profit pays the year's loan payments. Lenders set their own minimum; ask yours. Shows n/a when there is no loan payment in the year. If you pay yourself through draws instead of salary, use the after-draws row below.</t>
  </si>
  <si>
    <t xml:space="preserve">DSCR after owner draws</t>
  </si>
  <si>
    <t xml:space="preserve">(EBITDA − income tax − owner draws) ÷ annual debt service. Owner draws come from Assumptions section 8. Shows n/a when there is no loan payment in the year.</t>
  </si>
  <si>
    <t xml:space="preserve">Ending cash</t>
  </si>
  <si>
    <t xml:space="preserve">Cash at the end of the year</t>
  </si>
  <si>
    <t xml:space="preserve">Lowest month-end cash in the year</t>
  </si>
  <si>
    <t xml:space="preserve">If this goes below zero you need more working capital or financing</t>
  </si>
  <si>
    <t xml:space="preserve">Months with a cash warning</t>
  </si>
  <si>
    <t xml:space="preserve">Months flagged SHORT (below zero) or LOW (below the low-cash warning level, Assumptions section 8)</t>
  </si>
  <si>
    <t xml:space="preserve">Balance sheet at year-end: total assets</t>
  </si>
  <si>
    <t xml:space="preserve">From the Balance Sheet tab</t>
  </si>
  <si>
    <t xml:space="preserve">Result</t>
  </si>
  <si>
    <t xml:space="preserve">1. Funding: sources pay for all uses</t>
  </si>
  <si>
    <t xml:space="preserve">Startup &amp; Funding surplus/(shortfall) is 0 or more</t>
  </si>
  <si>
    <t xml:space="preserve">2. Loan schedule repaid by end of term</t>
  </si>
  <si>
    <t xml:space="preserve">Loan balance after the last scheduled payment is under $1</t>
  </si>
  <si>
    <t xml:space="preserve">3. P&amp;L sales equal Revenue tab sales (5 years)</t>
  </si>
  <si>
    <t xml:space="preserve">Annual totals compared</t>
  </si>
  <si>
    <t xml:space="preserve">4. P&amp;L direct costs equal Direct Costs tab (5 years)</t>
  </si>
  <si>
    <t xml:space="preserve">5. P&amp;L payroll equals Payroll tab (5 years)</t>
  </si>
  <si>
    <t xml:space="preserve">6. Cash reconciliation, Year 1</t>
  </si>
  <si>
    <t xml:space="preserve">Opening cash + net income + depreciation − loan principal − owner draws, recomputed from Assumptions, P&amp;L and Loan, must equal Cash Flow ending cash</t>
  </si>
  <si>
    <t xml:space="preserve">7. Cash reconciliation, all 60 months</t>
  </si>
  <si>
    <t xml:space="preserve">Same test over all 60 months</t>
  </si>
  <si>
    <t xml:space="preserve">8. No payroll role starts after month 60</t>
  </si>
  <si>
    <t xml:space="preserve">A role with a start month above 60 would never be paid in this model</t>
  </si>
  <si>
    <t xml:space="preserve">9. Balance sheet balances at every month-end</t>
  </si>
  <si>
    <t xml:space="preserve">Largest gap between assets and liabilities + equity across all 60 month-ends is under $1</t>
  </si>
  <si>
    <t xml:space="preserve">Each check shows OK when the two sides agree within $1.</t>
  </si>
  <si>
    <t xml:space="preserve">Plan outline — which numbers go into which section of your written plan</t>
  </si>
  <si>
    <t xml:space="preserve">The written plan belongs in a document; this workbook supplies its numbers. The section names are the eight sections of a traditional business plan in the SBA's guide, https://www.sba.gov/counseling/plan-your-business/</t>
  </si>
  <si>
    <t xml:space="preserve">Which workbook numbers go into each section is this template's own reading of that guide, not the SBA's. The gaps are listed below the table.</t>
  </si>
  <si>
    <t xml:space="preserve">Plan section</t>
  </si>
  <si>
    <t xml:space="preserve">What this workbook gives you for it</t>
  </si>
  <si>
    <t xml:space="preserve">Where (click to go there)</t>
  </si>
  <si>
    <t xml:space="preserve">Figure to quote (live)</t>
  </si>
  <si>
    <t xml:space="preserve">Executive summary</t>
  </si>
  <si>
    <t xml:space="preserve">The headline numbers: sales, profit, funding needed and the loan's coverage (DSCR).</t>
  </si>
  <si>
    <t xml:space="preserve">Year-1 sales</t>
  </si>
  <si>
    <t xml:space="preserve">Company description</t>
  </si>
  <si>
    <t xml:space="preserve">Your revenue lines (what you sell) and your first month of operations.</t>
  </si>
  <si>
    <t xml:space="preserve">Assumptions sections 1-2</t>
  </si>
  <si>
    <t xml:space="preserve">Revenue lines with sales in Year 1</t>
  </si>
  <si>
    <t xml:space="preserve">Market analysis</t>
  </si>
  <si>
    <t xml:space="preserve">Your research shows up as units, prices, ramp-up, seasonality and growth. Explain where each number comes from.</t>
  </si>
  <si>
    <t xml:space="preserve">Year-5 sales</t>
  </si>
  <si>
    <t xml:space="preserve">Organization and management</t>
  </si>
  <si>
    <t xml:space="preserve">Roles, headcount, salaries and start months; total payroll cost.</t>
  </si>
  <si>
    <t xml:space="preserve">Year-1 payroll cost</t>
  </si>
  <si>
    <t xml:space="preserve">Service or product line</t>
  </si>
  <si>
    <t xml:space="preserve">Price and direct cost of each revenue line; gross margin.</t>
  </si>
  <si>
    <t xml:space="preserve">Revenue and Direct Costs</t>
  </si>
  <si>
    <t xml:space="preserve">Year-1 gross margin</t>
  </si>
  <si>
    <t xml:space="preserve">Marketing and sales</t>
  </si>
  <si>
    <t xml:space="preserve">Marketing spend (fixed and % of sales) and the ramp-up you expect.</t>
  </si>
  <si>
    <t xml:space="preserve">OpEx (marketing lines)</t>
  </si>
  <si>
    <t xml:space="preserve">Year-1 marketing spend</t>
  </si>
  <si>
    <t xml:space="preserve">Funding request</t>
  </si>
  <si>
    <t xml:space="preserve">Opening uses and sources of funds, and one loan's payment and schedule. Gap: this workbook includes opening uses plus one loan only; the SBA's guide asks for funding needs over the next five years.</t>
  </si>
  <si>
    <t xml:space="preserve">Startup &amp; Funding and Loan</t>
  </si>
  <si>
    <t xml:space="preserve">Total uses of funds</t>
  </si>
  <si>
    <t xml:space="preserve">Financial projections</t>
  </si>
  <si>
    <t xml:space="preserve">Projected P&amp;L, cash flow and balance sheet: monthly for all 60 months, with annual totals for 5 years; break-even and key ratios. Gaps: no capital expenditure budget and no historical financials (see below).</t>
  </si>
  <si>
    <t xml:space="preserve">P&amp;L, Cash Flow, Balance Sheet, Break-Even, Key Ratios</t>
  </si>
  <si>
    <t xml:space="preserve">Year-5 net income</t>
  </si>
  <si>
    <t xml:space="preserve">The figures above are live links to this workbook's own cells; they change when you change Assumptions.</t>
  </si>
  <si>
    <t xml:space="preserve">What this workbook leaves out</t>
  </si>
  <si>
    <t xml:space="preserve">• No capital expenditure budget. The SBA's guide lists capital expenditure budgets with the projected statements; this workbook has only the startup equipment and other fixed-asset lines on Assumptions.</t>
  </si>
  <si>
    <t xml:space="preserve">• No historical financials. If your business is already established, the SBA's guide asks for past income statements, balance sheets and cash flow statements; this workbook holds projections only.</t>
  </si>
  <si>
    <t xml:space="preserve">• Funding includes opening uses plus one loan only. The SBA's guide asks how much funding you will need over the next five years; add any later funding rounds or loans to your written plan yourself.</t>
  </si>
  <si>
    <t xml:space="preserve">Sources and notes</t>
  </si>
  <si>
    <t xml:space="preserve">Only one input in this model is a published rate (employer FICA). Every other value is an example for a hypothetical small business and must be replaced with your own quotes, lease terms and research.</t>
  </si>
  <si>
    <t xml:space="preserve">Topic</t>
  </si>
  <si>
    <t xml:space="preserve">What it is used for in this model</t>
  </si>
  <si>
    <t xml:space="preserve">Source (open and check the current figure)</t>
  </si>
  <si>
    <t xml:space="preserve">Employer FICA 7.65%</t>
  </si>
  <si>
    <t xml:space="preserve">Default in Assumptions section 5b: 6.2% Social Security + 1.45% Medicare paid by the employer.</t>
  </si>
  <si>
    <t xml:space="preserve">IRS, Topic no. 751, Social Security and Medicare withholding rates — https://www.irs.gov/taxtopics/tc751</t>
  </si>
  <si>
    <t xml:space="preserve">Social Security wage base</t>
  </si>
  <si>
    <t xml:space="preserve">Not modelled: Social Security tax stops above an annual wage base ($184,500 for 2026). This model applies 7.65% to all wages, a small overstatement for very high salaries.</t>
  </si>
  <si>
    <t xml:space="preserve">IRS, Topic no. 751 — https://www.irs.gov/taxtopics/tc751</t>
  </si>
  <si>
    <t xml:space="preserve">Business plan sections</t>
  </si>
  <si>
    <t xml:space="preserve">Plan Outline tab: the section names of a traditional business plan.</t>
  </si>
  <si>
    <t xml:space="preserve">U.S. Small Business Administration, Write your business plan — https://www.sba.gov/counseling/plan-your-business/</t>
  </si>
  <si>
    <t xml:space="preserve">SBA 7(a) loans</t>
  </si>
  <si>
    <t xml:space="preserve">No number used. Loan amount, rate and term are examples. Check current SBA 7(a) loan terms at sba.gov and with your lender.</t>
  </si>
  <si>
    <t xml:space="preserve">U.S. Small Business Administration, 7(a) loans — https://www.sba.gov/funding-programs/loans/7a-loans</t>
  </si>
  <si>
    <t xml:space="preserve">Local wage rates</t>
  </si>
  <si>
    <t xml:space="preserve">No number used. Look up wages for the roles you will hire in your area.</t>
  </si>
  <si>
    <t xml:space="preserve">U.S. Bureau of Labor Statistics, Occupational Employment and Wage Statistics — https://www.bls.gov/oes/</t>
  </si>
  <si>
    <t xml:space="preserve">Known limitations</t>
  </si>
  <si>
    <t xml:space="preserve">• IMPORTANT: Pre-opening costs (licenses and permits, legal and professional fees, pre-opening marketing, pre-opening payroll and training, other startup costs) are counted in Startup &amp; Funding uses of funds, not in the P&amp;L. The 60-month P&amp;L starts in the first month of operations. On the Balance Sheet these costs reduce equity from day one.</t>
  </si>
  <si>
    <t xml:space="preserve">• No receivables, payables or inventory timing: customers pay and suppliers are paid in the month of the sale, and inventory stays at its opening value, so cash follows profit in the same month. If your customers pay on terms, your cash will be lower than this model shows.</t>
  </si>
  <si>
    <t xml:space="preserve">• Direct costs are a fixed % of each revenue line's sales: no volume discounts or unit-cost changes.</t>
  </si>
  <si>
    <t xml:space="preserve">• Payroll is salaried by role from a start month; raises apply at the start of each model year. No hourly scheduling, overtime or bonuses.</t>
  </si>
  <si>
    <t xml:space="preserve">• Income tax is a flat % of each month's positive pre-tax profit; losses are not carried forward. Depreciation is straight-line for planning; tax depreciation (bonus depreciation, Section 179) can be very different.</t>
  </si>
  <si>
    <t xml:space="preserve">• The loan is fixed-rate with level payments from the first month of operations. Interest-only periods, variable rates, fees and lines of credit are not modelled.</t>
  </si>
  <si>
    <t xml:space="preserve">• The Social Security wage-base cap and the Additional Medicare Tax are not modelled.</t>
  </si>
  <si>
    <t xml:space="preserve">• Up to 5 revenue lines and 10 payroll roles. To add more, copy a row on each tab with care; the model checks on Key Ratios will show CHECK if totals stop matching.</t>
  </si>
  <si>
    <t xml:space="preserve">• This is a planning tool, not tax, legal or lending advice. A lender may ask for statements in its own format.</t>
  </si>
</sst>
</file>

<file path=xl/styles.xml><?xml version="1.0" encoding="utf-8"?>
<styleSheet xmlns="http://schemas.openxmlformats.org/spreadsheetml/2006/main">
  <numFmts count="12">
    <numFmt numFmtId="164" formatCode="General"/>
    <numFmt numFmtId="165" formatCode="\$#,##0;&quot;($&quot;#,##0\);\-"/>
    <numFmt numFmtId="166" formatCode="0.00\x;\(0.00&quot;x)&quot;;\-"/>
    <numFmt numFmtId="167" formatCode="@"/>
    <numFmt numFmtId="168" formatCode="mmm\ yyyy"/>
    <numFmt numFmtId="169" formatCode="#,##0;\(#,##0\);\-"/>
    <numFmt numFmtId="170" formatCode="\$#,##0.00;&quot;($&quot;#,##0.00\);\-"/>
    <numFmt numFmtId="171" formatCode="0.0%;\(0.0%\);\-"/>
    <numFmt numFmtId="172" formatCode="#,##0.0;\(#,##0.0\);\-"/>
    <numFmt numFmtId="173" formatCode="0.00%"/>
    <numFmt numFmtId="174" formatCode="mmm\ yy"/>
    <numFmt numFmtId="175" formatCode="0.000"/>
  </numFmts>
  <fonts count="14">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i val="true"/>
      <sz val="10"/>
      <color rgb="FF555555"/>
      <name val="Arial"/>
      <family val="0"/>
      <charset val="1"/>
    </font>
    <font>
      <b val="true"/>
      <sz val="10"/>
      <name val="Arial"/>
      <family val="0"/>
      <charset val="1"/>
    </font>
    <font>
      <b val="true"/>
      <sz val="10"/>
      <color rgb="FFC00000"/>
      <name val="Arial"/>
      <family val="0"/>
      <charset val="1"/>
    </font>
    <font>
      <b val="true"/>
      <sz val="10"/>
      <color rgb="FFFFFFFF"/>
      <name val="Arial"/>
      <family val="0"/>
      <charset val="1"/>
    </font>
    <font>
      <sz val="10"/>
      <name val="Arial"/>
      <family val="0"/>
      <charset val="1"/>
    </font>
    <font>
      <sz val="10"/>
      <color rgb="FF0000FF"/>
      <name val="Arial"/>
      <family val="0"/>
      <charset val="1"/>
    </font>
    <font>
      <sz val="10"/>
      <color rgb="FF008000"/>
      <name val="Arial"/>
      <family val="0"/>
      <charset val="1"/>
    </font>
    <font>
      <b val="true"/>
      <u val="single"/>
      <sz val="10"/>
      <color rgb="FF0563C1"/>
      <name val="Arial"/>
      <family val="0"/>
      <charset val="1"/>
    </font>
    <font>
      <u val="single"/>
      <sz val="10"/>
      <color rgb="FF0563C1"/>
      <name val="Arial"/>
      <family val="0"/>
      <charset val="1"/>
    </font>
  </fonts>
  <fills count="6">
    <fill>
      <patternFill patternType="none"/>
    </fill>
    <fill>
      <patternFill patternType="gray125"/>
    </fill>
    <fill>
      <patternFill patternType="solid">
        <fgColor rgb="FF1F3A5F"/>
        <bgColor rgb="FF333333"/>
      </patternFill>
    </fill>
    <fill>
      <patternFill patternType="solid">
        <fgColor rgb="FFFFFF99"/>
        <bgColor rgb="FFF2F2F2"/>
      </patternFill>
    </fill>
    <fill>
      <patternFill patternType="solid">
        <fgColor rgb="FFDCE6F1"/>
        <bgColor rgb="FFF2F2F2"/>
      </patternFill>
    </fill>
    <fill>
      <patternFill patternType="solid">
        <fgColor rgb="FFF2F2F2"/>
        <bgColor rgb="FFFFFFFF"/>
      </patternFill>
    </fill>
  </fills>
  <borders count="2">
    <border diagonalUp="false" diagonalDown="false">
      <left/>
      <right/>
      <top/>
      <bottom/>
      <diagonal/>
    </border>
    <border diagonalUp="false" diagonalDown="false">
      <left/>
      <right/>
      <top style="thin">
        <color rgb="FF999999"/>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10" fillId="3" borderId="0" xfId="0" applyFont="true" applyBorder="false" applyAlignment="true" applyProtection="false">
      <alignment horizontal="general" vertical="top" textRotation="0" wrapText="false" indent="0" shrinkToFit="false"/>
      <protection locked="true" hidden="false"/>
    </xf>
    <xf numFmtId="164" fontId="9" fillId="0" borderId="0" xfId="0" applyFont="true" applyBorder="false" applyAlignment="true" applyProtection="false">
      <alignment horizontal="general" vertical="top" textRotation="0" wrapText="false" indent="0" shrinkToFit="false"/>
      <protection locked="true" hidden="false"/>
    </xf>
    <xf numFmtId="164" fontId="11" fillId="0" borderId="0" xfId="0" applyFont="true" applyBorder="false" applyAlignment="true" applyProtection="false">
      <alignment horizontal="general" vertical="top" textRotation="0" wrapText="false" indent="0" shrinkToFit="false"/>
      <protection locked="true" hidden="false"/>
    </xf>
    <xf numFmtId="164" fontId="12" fillId="0" borderId="0" xfId="0" applyFont="true" applyBorder="false" applyAlignment="true" applyProtection="false">
      <alignment horizontal="general" vertical="top" textRotation="0" wrapText="false" indent="0" shrinkToFit="false"/>
      <protection locked="true" hidden="false"/>
    </xf>
    <xf numFmtId="164" fontId="8" fillId="2" borderId="0" xfId="0" applyFont="true" applyBorder="false" applyAlignment="true" applyProtection="false">
      <alignment horizontal="right"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general" vertical="center"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7" fontId="10" fillId="3" borderId="0" xfId="0" applyFont="true" applyBorder="false" applyAlignment="false" applyProtection="true">
      <alignment horizontal="general" vertical="bottom" textRotation="0" wrapText="false" indent="0" shrinkToFit="false"/>
      <protection locked="false" hidden="false"/>
    </xf>
    <xf numFmtId="168" fontId="10" fillId="3" borderId="0" xfId="0" applyFont="true" applyBorder="false" applyAlignment="false" applyProtection="true">
      <alignment horizontal="general" vertical="bottom" textRotation="0" wrapText="false" indent="0" shrinkToFit="false"/>
      <protection locked="false" hidden="false"/>
    </xf>
    <xf numFmtId="169" fontId="10" fillId="3" borderId="0" xfId="0" applyFont="true" applyBorder="false" applyAlignment="false" applyProtection="true">
      <alignment horizontal="general" vertical="bottom" textRotation="0" wrapText="false" indent="0" shrinkToFit="false"/>
      <protection locked="false" hidden="false"/>
    </xf>
    <xf numFmtId="170" fontId="10" fillId="3" borderId="0" xfId="0" applyFont="true" applyBorder="false" applyAlignment="false" applyProtection="true">
      <alignment horizontal="general" vertical="bottom" textRotation="0" wrapText="false" indent="0" shrinkToFit="false"/>
      <protection locked="false" hidden="false"/>
    </xf>
    <xf numFmtId="171" fontId="10" fillId="3" borderId="0" xfId="0" applyFont="true" applyBorder="false" applyAlignment="false" applyProtection="true">
      <alignment horizontal="general" vertical="bottom" textRotation="0" wrapText="false" indent="0" shrinkToFit="false"/>
      <protection locked="false" hidden="false"/>
    </xf>
    <xf numFmtId="171" fontId="9" fillId="0" borderId="0" xfId="0" applyFont="true" applyBorder="false" applyAlignment="false" applyProtection="false">
      <alignment horizontal="general" vertical="bottom" textRotation="0" wrapText="false" indent="0" shrinkToFit="false"/>
      <protection locked="true" hidden="false"/>
    </xf>
    <xf numFmtId="172" fontId="10" fillId="3" borderId="0" xfId="0" applyFont="true" applyBorder="false" applyAlignment="false" applyProtection="true">
      <alignment horizontal="general" vertical="bottom" textRotation="0" wrapText="false" indent="0" shrinkToFit="false"/>
      <protection locked="false" hidden="false"/>
    </xf>
    <xf numFmtId="165" fontId="10" fillId="3" borderId="0" xfId="0" applyFont="true" applyBorder="false" applyAlignment="false" applyProtection="true">
      <alignment horizontal="general" vertical="bottom" textRotation="0" wrapText="false" indent="0" shrinkToFit="false"/>
      <protection locked="false" hidden="false"/>
    </xf>
    <xf numFmtId="173" fontId="10" fillId="3" borderId="0" xfId="0" applyFont="true" applyBorder="false" applyAlignment="false" applyProtection="true">
      <alignment horizontal="general" vertical="bottom" textRotation="0" wrapText="false" indent="0" shrinkToFit="false"/>
      <protection locked="false" hidden="false"/>
    </xf>
    <xf numFmtId="169" fontId="6" fillId="0" borderId="0" xfId="0" applyFont="true" applyBorder="false" applyAlignment="true" applyProtection="false">
      <alignment horizontal="center" vertical="bottom" textRotation="0" wrapText="false" indent="0" shrinkToFit="false"/>
      <protection locked="true" hidden="false"/>
    </xf>
    <xf numFmtId="164" fontId="6" fillId="0" borderId="0" xfId="0" applyFont="true" applyBorder="false" applyAlignment="true" applyProtection="false">
      <alignment horizontal="center" vertical="bottom" textRotation="0" wrapText="false" indent="0" shrinkToFit="false"/>
      <protection locked="true" hidden="false"/>
    </xf>
    <xf numFmtId="169" fontId="9" fillId="0" borderId="0" xfId="0" applyFont="true" applyBorder="false" applyAlignment="true" applyProtection="false">
      <alignment horizontal="center" vertical="bottom" textRotation="0" wrapText="false" indent="0" shrinkToFit="false"/>
      <protection locked="true" hidden="false"/>
    </xf>
    <xf numFmtId="174" fontId="8" fillId="2" borderId="0" xfId="0" applyFont="true" applyBorder="false" applyAlignment="true" applyProtection="false">
      <alignment horizontal="center" vertical="bottom" textRotation="0" wrapText="false" indent="0" shrinkToFit="false"/>
      <protection locked="true" hidden="false"/>
    </xf>
    <xf numFmtId="164" fontId="8" fillId="2" borderId="0" xfId="0" applyFont="true" applyBorder="false" applyAlignment="true" applyProtection="false">
      <alignment horizontal="center" vertical="bottom" textRotation="0" wrapText="false" indent="0" shrinkToFit="false"/>
      <protection locked="true" hidden="false"/>
    </xf>
    <xf numFmtId="164" fontId="6"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72" fontId="9" fillId="0" borderId="0" xfId="0" applyFont="true" applyBorder="false" applyAlignment="false" applyProtection="false">
      <alignment horizontal="general" vertical="bottom" textRotation="0" wrapText="false" indent="0" shrinkToFit="false"/>
      <protection locked="true" hidden="false"/>
    </xf>
    <xf numFmtId="172" fontId="9" fillId="5" borderId="0" xfId="0" applyFont="true" applyBorder="false" applyAlignment="false" applyProtection="false">
      <alignment horizontal="general" vertical="bottom" textRotation="0" wrapText="false" indent="0" shrinkToFit="false"/>
      <protection locked="true" hidden="false"/>
    </xf>
    <xf numFmtId="170" fontId="9" fillId="0" borderId="0" xfId="0" applyFont="true" applyBorder="false" applyAlignment="false" applyProtection="false">
      <alignment horizontal="general" vertical="bottom" textRotation="0" wrapText="false" indent="0" shrinkToFit="false"/>
      <protection locked="true" hidden="false"/>
    </xf>
    <xf numFmtId="170" fontId="9" fillId="5" borderId="0" xfId="0" applyFont="tru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5" fontId="9" fillId="0" borderId="1" xfId="0" applyFont="true" applyBorder="true" applyAlignment="false" applyProtection="false">
      <alignment horizontal="general" vertical="bottom" textRotation="0" wrapText="false" indent="0" shrinkToFit="false"/>
      <protection locked="true" hidden="false"/>
    </xf>
    <xf numFmtId="165" fontId="6" fillId="5" borderId="1" xfId="0" applyFont="true" applyBorder="true" applyAlignment="false" applyProtection="false">
      <alignment horizontal="general" vertical="bottom" textRotation="0" wrapText="false" indent="0" shrinkToFit="false"/>
      <protection locked="true" hidden="false"/>
    </xf>
    <xf numFmtId="165" fontId="9" fillId="5"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71" fontId="9" fillId="5" borderId="0" xfId="0" applyFont="true" applyBorder="false" applyAlignment="false" applyProtection="false">
      <alignment horizontal="general" vertical="bottom" textRotation="0" wrapText="false" indent="0" shrinkToFit="false"/>
      <protection locked="true" hidden="false"/>
    </xf>
    <xf numFmtId="175" fontId="9" fillId="0" borderId="0" xfId="0" applyFont="true" applyBorder="false" applyAlignment="false" applyProtection="false">
      <alignment horizontal="general" vertical="bottom" textRotation="0" wrapText="false" indent="0" shrinkToFit="false"/>
      <protection locked="true" hidden="false"/>
    </xf>
    <xf numFmtId="165" fontId="11" fillId="0"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center" vertical="bottom" textRotation="0" wrapText="fals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71" fontId="6" fillId="0"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6" fillId="0" borderId="1" xfId="0" applyFont="true" applyBorder="true" applyAlignment="false" applyProtection="false">
      <alignment horizontal="general" vertical="bottom" textRotation="0" wrapText="false" indent="0" shrinkToFit="false"/>
      <protection locked="true" hidden="false"/>
    </xf>
    <xf numFmtId="171" fontId="6" fillId="0" borderId="1" xfId="0" applyFont="true" applyBorder="true" applyAlignment="false" applyProtection="false">
      <alignment horizontal="general" vertical="bottom" textRotation="0" wrapText="false" indent="0" shrinkToFit="false"/>
      <protection locked="true" hidden="false"/>
    </xf>
    <xf numFmtId="173" fontId="11" fillId="0" borderId="0" xfId="0" applyFont="true" applyBorder="false" applyAlignment="false" applyProtection="false">
      <alignment horizontal="general" vertical="bottom" textRotation="0" wrapText="false" indent="0" shrinkToFit="false"/>
      <protection locked="true" hidden="false"/>
    </xf>
    <xf numFmtId="169" fontId="9"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center" vertical="bottom" textRotation="0" wrapText="true" indent="0" shrinkToFit="false"/>
      <protection locked="true" hidden="false"/>
    </xf>
    <xf numFmtId="164" fontId="9" fillId="5" borderId="0" xfId="0" applyFont="true" applyBorder="false" applyAlignment="true" applyProtection="false">
      <alignment horizontal="center" vertical="bottom" textRotation="0" wrapText="false" indent="0" shrinkToFit="false"/>
      <protection locked="true" hidden="false"/>
    </xf>
    <xf numFmtId="165" fontId="6" fillId="0" borderId="0" xfId="0" applyFont="true" applyBorder="false" applyAlignment="true" applyProtection="false">
      <alignment horizontal="general" vertical="top"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1" shrinkToFit="false"/>
      <protection locked="true" hidden="false"/>
    </xf>
    <xf numFmtId="171" fontId="9" fillId="0" borderId="0" xfId="0" applyFont="true" applyBorder="false" applyAlignment="true" applyProtection="false">
      <alignment horizontal="general" vertical="top" textRotation="0" wrapText="false" indent="0" shrinkToFit="false"/>
      <protection locked="true" hidden="false"/>
    </xf>
    <xf numFmtId="165" fontId="9" fillId="0" borderId="0" xfId="0" applyFont="true" applyBorder="false" applyAlignment="true" applyProtection="false">
      <alignment horizontal="general" vertical="top" textRotation="0" wrapText="false" indent="0" shrinkToFit="false"/>
      <protection locked="true" hidden="false"/>
    </xf>
    <xf numFmtId="166" fontId="6" fillId="0" borderId="0" xfId="0" applyFont="true" applyBorder="false" applyAlignment="true" applyProtection="false">
      <alignment horizontal="general" vertical="top" textRotation="0" wrapText="false" indent="0" shrinkToFit="false"/>
      <protection locked="true" hidden="false"/>
    </xf>
    <xf numFmtId="169" fontId="9" fillId="0" borderId="0" xfId="0" applyFont="true" applyBorder="false" applyAlignment="true" applyProtection="false">
      <alignment horizontal="general" vertical="top"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DCE6F1"/>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000"/>
      <rgbColor rgb="FFFF9900"/>
      <rgbColor rgb="FFFF6600"/>
      <rgbColor rgb="FF555555"/>
      <rgbColor rgb="FF999999"/>
      <rgbColor rgb="FF1F3A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A5F"/>
    <pageSetUpPr fitToPage="true"/>
  </sheetPr>
  <dimension ref="B1:G4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30"/>
    <col collapsed="false" customWidth="true" hidden="false" outlineLevel="0" max="7" min="3" style="0" width="17"/>
  </cols>
  <sheetData>
    <row r="1" customFormat="false" ht="17.35" hidden="false" customHeight="false" outlineLevel="0" collapsed="false">
      <c r="B1" s="1" t="s">
        <v>0</v>
      </c>
    </row>
    <row r="2" customFormat="false" ht="15" hidden="false" customHeight="false" outlineLevel="0" collapsed="false">
      <c r="B2" s="2" t="s">
        <v>1</v>
      </c>
    </row>
    <row r="4" customFormat="false" ht="30" hidden="false" customHeight="true" outlineLevel="0" collapsed="false">
      <c r="B4" s="3" t="s">
        <v>2</v>
      </c>
      <c r="C4" s="4" t="s">
        <v>3</v>
      </c>
      <c r="D4" s="4"/>
      <c r="E4" s="4"/>
      <c r="F4" s="4"/>
      <c r="G4" s="4"/>
    </row>
    <row r="6" customFormat="false" ht="15" hidden="false" customHeight="false" outlineLevel="0" collapsed="false">
      <c r="B6" s="5" t="s">
        <v>4</v>
      </c>
      <c r="C6" s="6"/>
      <c r="D6" s="6"/>
      <c r="E6" s="6"/>
      <c r="F6" s="6"/>
      <c r="G6" s="6"/>
    </row>
    <row r="7" customFormat="false" ht="27.75" hidden="false" customHeight="true" outlineLevel="0" collapsed="false">
      <c r="B7" s="3" t="s">
        <v>5</v>
      </c>
      <c r="C7" s="7" t="s">
        <v>6</v>
      </c>
      <c r="D7" s="7"/>
      <c r="E7" s="7"/>
      <c r="F7" s="7"/>
      <c r="G7" s="7"/>
    </row>
    <row r="8" customFormat="false" ht="27.75" hidden="false" customHeight="true" outlineLevel="0" collapsed="false">
      <c r="B8" s="3" t="s">
        <v>7</v>
      </c>
      <c r="C8" s="7" t="s">
        <v>8</v>
      </c>
      <c r="D8" s="7"/>
      <c r="E8" s="7"/>
      <c r="F8" s="7"/>
      <c r="G8" s="7"/>
    </row>
    <row r="9" customFormat="false" ht="27.75" hidden="false" customHeight="true" outlineLevel="0" collapsed="false">
      <c r="B9" s="3" t="s">
        <v>9</v>
      </c>
      <c r="C9" s="7" t="s">
        <v>10</v>
      </c>
      <c r="D9" s="7"/>
      <c r="E9" s="7"/>
      <c r="F9" s="7"/>
      <c r="G9" s="7"/>
    </row>
    <row r="10" customFormat="false" ht="27.75" hidden="false" customHeight="true" outlineLevel="0" collapsed="false">
      <c r="B10" s="3" t="s">
        <v>11</v>
      </c>
      <c r="C10" s="7" t="s">
        <v>12</v>
      </c>
      <c r="D10" s="7"/>
      <c r="E10" s="7"/>
      <c r="F10" s="7"/>
      <c r="G10" s="7"/>
    </row>
    <row r="11" customFormat="false" ht="27.75" hidden="false" customHeight="true" outlineLevel="0" collapsed="false">
      <c r="B11" s="3" t="s">
        <v>13</v>
      </c>
      <c r="C11" s="7" t="s">
        <v>14</v>
      </c>
      <c r="D11" s="7"/>
      <c r="E11" s="7"/>
      <c r="F11" s="7"/>
      <c r="G11" s="7"/>
    </row>
    <row r="12" customFormat="false" ht="27.75" hidden="false" customHeight="true" outlineLevel="0" collapsed="false">
      <c r="B12" s="3" t="s">
        <v>15</v>
      </c>
      <c r="C12" s="7" t="s">
        <v>16</v>
      </c>
      <c r="D12" s="7"/>
      <c r="E12" s="7"/>
      <c r="F12" s="7"/>
      <c r="G12" s="7"/>
    </row>
    <row r="13" customFormat="false" ht="27.75" hidden="false" customHeight="true" outlineLevel="0" collapsed="false">
      <c r="B13" s="3" t="s">
        <v>17</v>
      </c>
      <c r="C13" s="7" t="s">
        <v>18</v>
      </c>
      <c r="D13" s="7"/>
      <c r="E13" s="7"/>
      <c r="F13" s="7"/>
      <c r="G13" s="7"/>
    </row>
    <row r="15" customFormat="false" ht="15" hidden="false" customHeight="false" outlineLevel="0" collapsed="false">
      <c r="B15" s="5" t="s">
        <v>19</v>
      </c>
      <c r="C15" s="6"/>
      <c r="D15" s="6"/>
      <c r="E15" s="6"/>
      <c r="F15" s="6"/>
      <c r="G15" s="6"/>
    </row>
    <row r="16" customFormat="false" ht="15" hidden="false" customHeight="true" outlineLevel="0" collapsed="false">
      <c r="B16" s="8" t="s">
        <v>20</v>
      </c>
      <c r="C16" s="7" t="s">
        <v>21</v>
      </c>
      <c r="D16" s="7"/>
      <c r="E16" s="7"/>
      <c r="F16" s="7"/>
      <c r="G16" s="7"/>
    </row>
    <row r="17" customFormat="false" ht="15" hidden="false" customHeight="true" outlineLevel="0" collapsed="false">
      <c r="B17" s="9" t="s">
        <v>20</v>
      </c>
      <c r="C17" s="7" t="s">
        <v>22</v>
      </c>
      <c r="D17" s="7"/>
      <c r="E17" s="7"/>
      <c r="F17" s="7"/>
      <c r="G17" s="7"/>
    </row>
    <row r="18" customFormat="false" ht="15" hidden="false" customHeight="true" outlineLevel="0" collapsed="false">
      <c r="B18" s="10" t="s">
        <v>20</v>
      </c>
      <c r="C18" s="7" t="s">
        <v>23</v>
      </c>
      <c r="D18" s="7"/>
      <c r="E18" s="7"/>
      <c r="F18" s="7"/>
      <c r="G18" s="7"/>
    </row>
    <row r="20" customFormat="false" ht="15" hidden="false" customHeight="false" outlineLevel="0" collapsed="false">
      <c r="B20" s="5" t="s">
        <v>24</v>
      </c>
      <c r="C20" s="6"/>
      <c r="D20" s="6"/>
      <c r="E20" s="6"/>
      <c r="F20" s="6"/>
      <c r="G20" s="6"/>
    </row>
    <row r="21" customFormat="false" ht="15" hidden="false" customHeight="true" outlineLevel="0" collapsed="false">
      <c r="B21" s="11" t="s">
        <v>25</v>
      </c>
      <c r="C21" s="7" t="s">
        <v>26</v>
      </c>
      <c r="D21" s="7"/>
      <c r="E21" s="7"/>
      <c r="F21" s="7"/>
      <c r="G21" s="7"/>
    </row>
    <row r="22" customFormat="false" ht="15" hidden="false" customHeight="true" outlineLevel="0" collapsed="false">
      <c r="B22" s="11" t="s">
        <v>27</v>
      </c>
      <c r="C22" s="7" t="s">
        <v>28</v>
      </c>
      <c r="D22" s="7"/>
      <c r="E22" s="7"/>
      <c r="F22" s="7"/>
      <c r="G22" s="7"/>
    </row>
    <row r="23" customFormat="false" ht="15" hidden="false" customHeight="true" outlineLevel="0" collapsed="false">
      <c r="B23" s="11" t="s">
        <v>29</v>
      </c>
      <c r="C23" s="7" t="s">
        <v>30</v>
      </c>
      <c r="D23" s="7"/>
      <c r="E23" s="7"/>
      <c r="F23" s="7"/>
      <c r="G23" s="7"/>
    </row>
    <row r="24" customFormat="false" ht="15" hidden="false" customHeight="true" outlineLevel="0" collapsed="false">
      <c r="B24" s="11" t="s">
        <v>31</v>
      </c>
      <c r="C24" s="7" t="s">
        <v>32</v>
      </c>
      <c r="D24" s="7"/>
      <c r="E24" s="7"/>
      <c r="F24" s="7"/>
      <c r="G24" s="7"/>
    </row>
    <row r="25" customFormat="false" ht="15" hidden="false" customHeight="true" outlineLevel="0" collapsed="false">
      <c r="B25" s="11" t="s">
        <v>33</v>
      </c>
      <c r="C25" s="7" t="s">
        <v>34</v>
      </c>
      <c r="D25" s="7"/>
      <c r="E25" s="7"/>
      <c r="F25" s="7"/>
      <c r="G25" s="7"/>
    </row>
    <row r="26" customFormat="false" ht="15" hidden="false" customHeight="true" outlineLevel="0" collapsed="false">
      <c r="B26" s="11" t="s">
        <v>35</v>
      </c>
      <c r="C26" s="7" t="s">
        <v>36</v>
      </c>
      <c r="D26" s="7"/>
      <c r="E26" s="7"/>
      <c r="F26" s="7"/>
      <c r="G26" s="7"/>
    </row>
    <row r="27" customFormat="false" ht="15" hidden="false" customHeight="true" outlineLevel="0" collapsed="false">
      <c r="B27" s="11" t="s">
        <v>37</v>
      </c>
      <c r="C27" s="7" t="s">
        <v>38</v>
      </c>
      <c r="D27" s="7"/>
      <c r="E27" s="7"/>
      <c r="F27" s="7"/>
      <c r="G27" s="7"/>
    </row>
    <row r="28" customFormat="false" ht="15" hidden="false" customHeight="true" outlineLevel="0" collapsed="false">
      <c r="B28" s="11" t="s">
        <v>39</v>
      </c>
      <c r="C28" s="7" t="s">
        <v>40</v>
      </c>
      <c r="D28" s="7"/>
      <c r="E28" s="7"/>
      <c r="F28" s="7"/>
      <c r="G28" s="7"/>
    </row>
    <row r="29" customFormat="false" ht="15" hidden="false" customHeight="true" outlineLevel="0" collapsed="false">
      <c r="B29" s="11" t="s">
        <v>41</v>
      </c>
      <c r="C29" s="7" t="s">
        <v>42</v>
      </c>
      <c r="D29" s="7"/>
      <c r="E29" s="7"/>
      <c r="F29" s="7"/>
      <c r="G29" s="7"/>
    </row>
    <row r="30" customFormat="false" ht="15" hidden="false" customHeight="true" outlineLevel="0" collapsed="false">
      <c r="B30" s="11" t="s">
        <v>43</v>
      </c>
      <c r="C30" s="7" t="s">
        <v>44</v>
      </c>
      <c r="D30" s="7"/>
      <c r="E30" s="7"/>
      <c r="F30" s="7"/>
      <c r="G30" s="7"/>
    </row>
    <row r="31" customFormat="false" ht="15" hidden="false" customHeight="true" outlineLevel="0" collapsed="false">
      <c r="B31" s="11" t="s">
        <v>45</v>
      </c>
      <c r="C31" s="7" t="s">
        <v>46</v>
      </c>
      <c r="D31" s="7"/>
      <c r="E31" s="7"/>
      <c r="F31" s="7"/>
      <c r="G31" s="7"/>
    </row>
    <row r="32" customFormat="false" ht="15" hidden="false" customHeight="true" outlineLevel="0" collapsed="false">
      <c r="B32" s="11" t="s">
        <v>47</v>
      </c>
      <c r="C32" s="7" t="s">
        <v>48</v>
      </c>
      <c r="D32" s="7"/>
      <c r="E32" s="7"/>
      <c r="F32" s="7"/>
      <c r="G32" s="7"/>
    </row>
    <row r="33" customFormat="false" ht="15" hidden="false" customHeight="true" outlineLevel="0" collapsed="false">
      <c r="B33" s="11" t="s">
        <v>49</v>
      </c>
      <c r="C33" s="7" t="s">
        <v>50</v>
      </c>
      <c r="D33" s="7"/>
      <c r="E33" s="7"/>
      <c r="F33" s="7"/>
      <c r="G33" s="7"/>
    </row>
    <row r="34" customFormat="false" ht="15" hidden="false" customHeight="true" outlineLevel="0" collapsed="false">
      <c r="B34" s="11" t="s">
        <v>51</v>
      </c>
      <c r="C34" s="7" t="s">
        <v>52</v>
      </c>
      <c r="D34" s="7"/>
      <c r="E34" s="7"/>
      <c r="F34" s="7"/>
      <c r="G34" s="7"/>
    </row>
    <row r="36" customFormat="false" ht="15" hidden="false" customHeight="false" outlineLevel="0" collapsed="false">
      <c r="B36" s="5" t="s">
        <v>53</v>
      </c>
      <c r="C36" s="12" t="s">
        <v>54</v>
      </c>
      <c r="D36" s="12" t="s">
        <v>55</v>
      </c>
      <c r="E36" s="12" t="s">
        <v>56</v>
      </c>
      <c r="F36" s="6"/>
      <c r="G36" s="6"/>
    </row>
    <row r="37" customFormat="false" ht="15" hidden="false" customHeight="false" outlineLevel="0" collapsed="false">
      <c r="B37" s="13" t="s">
        <v>57</v>
      </c>
      <c r="C37" s="14" t="n">
        <f aca="false">'Key Ratios'!$C$5</f>
        <v>412230</v>
      </c>
      <c r="D37" s="14" t="n">
        <f aca="false">'Key Ratios'!$D$5</f>
        <v>511308</v>
      </c>
      <c r="E37" s="14" t="n">
        <f aca="false">'Key Ratios'!$E$5</f>
        <v>558800.1288</v>
      </c>
    </row>
    <row r="38" customFormat="false" ht="15" hidden="false" customHeight="false" outlineLevel="0" collapsed="false">
      <c r="B38" s="13" t="s">
        <v>58</v>
      </c>
      <c r="C38" s="14" t="n">
        <f aca="false">'Key Ratios'!$C$12</f>
        <v>11279.9454544477</v>
      </c>
      <c r="D38" s="14" t="n">
        <f aca="false">'Key Ratios'!$D$12</f>
        <v>49535.1656527338</v>
      </c>
      <c r="E38" s="14" t="n">
        <f aca="false">'Key Ratios'!$E$12</f>
        <v>25526.2484018957</v>
      </c>
    </row>
    <row r="39" customFormat="false" ht="15" hidden="false" customHeight="false" outlineLevel="0" collapsed="false">
      <c r="B39" s="13" t="s">
        <v>59</v>
      </c>
      <c r="C39" s="15" t="n">
        <f aca="false">'Key Ratios'!$C$15</f>
        <v>1.72472307592517</v>
      </c>
      <c r="D39" s="15" t="n">
        <f aca="false">'Key Ratios'!$D$15</f>
        <v>3.47382463185945</v>
      </c>
      <c r="E39" s="15" t="n">
        <f aca="false">'Key Ratios'!$E$15</f>
        <v>2.28623963841346</v>
      </c>
    </row>
    <row r="40" customFormat="false" ht="15" hidden="false" customHeight="false" outlineLevel="0" collapsed="false">
      <c r="B40" s="13" t="s">
        <v>60</v>
      </c>
      <c r="C40" s="14" t="n">
        <f aca="false">'Key Ratios'!$C$18</f>
        <v>25060.0041741873</v>
      </c>
      <c r="D40" s="14" t="n">
        <f aca="false">'Key Ratios'!$D$18</f>
        <v>57042.6745881449</v>
      </c>
      <c r="E40" s="14" t="n">
        <f aca="false">'Key Ratios'!$E$18</f>
        <v>106504.14600209</v>
      </c>
    </row>
    <row r="42" customFormat="false" ht="15" hidden="false" customHeight="false" outlineLevel="0" collapsed="false">
      <c r="B42" s="13" t="s">
        <v>61</v>
      </c>
      <c r="C42" s="14" t="n">
        <f aca="false">'Break-Even'!$C$20</f>
        <v>32879.3305112737</v>
      </c>
      <c r="D42" s="2" t="s">
        <v>62</v>
      </c>
    </row>
    <row r="43" customFormat="false" ht="15" hidden="false" customHeight="false" outlineLevel="0" collapsed="false">
      <c r="B43" s="13" t="s">
        <v>63</v>
      </c>
      <c r="C43" s="14" t="n">
        <f aca="false">'Break-Even'!$D$20</f>
        <v>32342.375757909</v>
      </c>
      <c r="D43" s="2" t="s">
        <v>62</v>
      </c>
    </row>
    <row r="44" customFormat="false" ht="15" hidden="false" customHeight="false" outlineLevel="0" collapsed="false">
      <c r="B44" s="13" t="s">
        <v>64</v>
      </c>
      <c r="C44" s="14" t="n">
        <f aca="false">'Startup &amp; Funding'!$C$26</f>
        <v>0</v>
      </c>
      <c r="D44" s="2" t="str">
        <f aca="false">'Startup &amp; Funding'!$D$26</f>
        <v>Balanced</v>
      </c>
    </row>
    <row r="45" customFormat="false" ht="15" hidden="false" customHeight="false" outlineLevel="0" collapsed="false">
      <c r="B45" s="13" t="s">
        <v>65</v>
      </c>
      <c r="C45" s="13" t="str">
        <f aca="false">IF(COUNTIF('Key Ratios'!$C$23:$C$31,"OK")=9,"All 9 OK","Not all OK: see Key Ratios")</f>
        <v>All 9 OK</v>
      </c>
    </row>
    <row r="47" customFormat="false" ht="42" hidden="false" customHeight="true" outlineLevel="0" collapsed="false">
      <c r="B47" s="3" t="s">
        <v>66</v>
      </c>
      <c r="C47" s="7" t="s">
        <v>67</v>
      </c>
      <c r="D47" s="7"/>
      <c r="E47" s="7"/>
      <c r="F47" s="7"/>
      <c r="G47" s="7"/>
    </row>
  </sheetData>
  <mergeCells count="26">
    <mergeCell ref="C4:G4"/>
    <mergeCell ref="C7:G7"/>
    <mergeCell ref="C8:G8"/>
    <mergeCell ref="C9:G9"/>
    <mergeCell ref="C10:G10"/>
    <mergeCell ref="C11:G11"/>
    <mergeCell ref="C12:G12"/>
    <mergeCell ref="C13:G13"/>
    <mergeCell ref="C16:G16"/>
    <mergeCell ref="C17:G17"/>
    <mergeCell ref="C18:G18"/>
    <mergeCell ref="C21:G21"/>
    <mergeCell ref="C22:G22"/>
    <mergeCell ref="C23:G23"/>
    <mergeCell ref="C24:G24"/>
    <mergeCell ref="C25:G25"/>
    <mergeCell ref="C26:G26"/>
    <mergeCell ref="C27:G27"/>
    <mergeCell ref="C28:G28"/>
    <mergeCell ref="C29:G29"/>
    <mergeCell ref="C30:G30"/>
    <mergeCell ref="C31:G31"/>
    <mergeCell ref="C32:G32"/>
    <mergeCell ref="C33:G33"/>
    <mergeCell ref="C34:G34"/>
    <mergeCell ref="C47:G47"/>
  </mergeCells>
  <hyperlinks>
    <hyperlink ref="B21" location="'Assumptions'!A1" display="Assumptions"/>
    <hyperlink ref="B22" location="'Revenue'!A1" display="Revenue"/>
    <hyperlink ref="B23" location="'Direct Costs'!A1" display="Direct Costs"/>
    <hyperlink ref="B24" location="'Payroll'!A1" display="Payroll"/>
    <hyperlink ref="B25" location="'OpEx'!A1" display="OpEx"/>
    <hyperlink ref="B26" location="'P&amp;L'!A1" display="P&amp;L"/>
    <hyperlink ref="B27" location="'Cash Flow'!A1" display="Cash Flow"/>
    <hyperlink ref="B28" location="'Break-Even'!A1" display="Break-Even"/>
    <hyperlink ref="B29" location="'Startup &amp; Funding'!A1" display="Startup &amp; Funding"/>
    <hyperlink ref="B30" location="'Loan'!A1" display="Loan"/>
    <hyperlink ref="B31" location="'Balance Sheet'!A1" display="Balance Sheet"/>
    <hyperlink ref="B32" location="'Key Ratios'!A1" display="Key Ratios"/>
    <hyperlink ref="B33" location="'Plan Outline'!A1" display="Plan Outline"/>
    <hyperlink ref="B34" location="'Sources &amp; Notes'!A1" display="Sources &amp; Notes"/>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true"/>
  </sheetPr>
  <dimension ref="B1:I1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50"/>
    <col collapsed="false" customWidth="true" hidden="false" outlineLevel="0" max="7" min="3" style="0" width="16"/>
    <col collapsed="false" customWidth="true" hidden="false" outlineLevel="0" max="8" min="8" style="0" width="3"/>
    <col collapsed="false" customWidth="true" hidden="false" outlineLevel="0" max="9" min="9" style="0" width="70"/>
  </cols>
  <sheetData>
    <row r="1" customFormat="false" ht="17.35" hidden="false" customHeight="false" outlineLevel="0" collapsed="false">
      <c r="B1" s="1" t="s">
        <v>68</v>
      </c>
    </row>
    <row r="2" customFormat="false" ht="15" hidden="false" customHeight="false" outlineLevel="0" collapsed="false">
      <c r="B2" s="2" t="s">
        <v>69</v>
      </c>
    </row>
    <row r="3" customFormat="false" ht="15" hidden="false" customHeight="false" outlineLevel="0" collapsed="false">
      <c r="B3" s="16" t="s">
        <v>70</v>
      </c>
      <c r="C3" s="2" t="s">
        <v>71</v>
      </c>
    </row>
    <row r="5" customFormat="false" ht="15" hidden="false" customHeight="false" outlineLevel="0" collapsed="false">
      <c r="B5" s="17" t="s">
        <v>72</v>
      </c>
      <c r="C5" s="17" t="s">
        <v>73</v>
      </c>
      <c r="D5" s="17" t="s">
        <v>74</v>
      </c>
      <c r="E5" s="6"/>
      <c r="F5" s="6"/>
      <c r="G5" s="6"/>
      <c r="H5" s="6"/>
      <c r="I5" s="5" t="s">
        <v>75</v>
      </c>
    </row>
    <row r="6" customFormat="false" ht="15" hidden="false" customHeight="false" outlineLevel="0" collapsed="false">
      <c r="B6" s="18" t="s">
        <v>76</v>
      </c>
      <c r="C6" s="19" t="s">
        <v>77</v>
      </c>
      <c r="D6" s="2"/>
      <c r="I6" s="2" t="s">
        <v>78</v>
      </c>
    </row>
    <row r="7" customFormat="false" ht="15" hidden="false" customHeight="false" outlineLevel="0" collapsed="false">
      <c r="B7" s="18" t="s">
        <v>79</v>
      </c>
      <c r="C7" s="20" t="n">
        <v>46388</v>
      </c>
      <c r="D7" s="2" t="s">
        <v>80</v>
      </c>
      <c r="I7" s="18" t="s">
        <v>81</v>
      </c>
    </row>
    <row r="8" customFormat="false" ht="15" hidden="false" customHeight="false" outlineLevel="0" collapsed="false">
      <c r="B8" s="18" t="s">
        <v>82</v>
      </c>
      <c r="C8" s="19" t="s">
        <v>83</v>
      </c>
      <c r="D8" s="2"/>
      <c r="I8" s="18" t="s">
        <v>84</v>
      </c>
    </row>
    <row r="10" customFormat="false" ht="15" hidden="false" customHeight="false" outlineLevel="0" collapsed="false">
      <c r="B10" s="13" t="s">
        <v>85</v>
      </c>
    </row>
    <row r="11" customFormat="false" ht="15" hidden="false" customHeight="false" outlineLevel="0" collapsed="false">
      <c r="B11" s="2" t="s">
        <v>86</v>
      </c>
    </row>
    <row r="12" customFormat="false" ht="54" hidden="false" customHeight="true" outlineLevel="0" collapsed="false">
      <c r="B12" s="17" t="s">
        <v>87</v>
      </c>
      <c r="C12" s="17" t="s">
        <v>88</v>
      </c>
      <c r="D12" s="17" t="s">
        <v>89</v>
      </c>
      <c r="E12" s="17" t="s">
        <v>90</v>
      </c>
      <c r="F12" s="17" t="s">
        <v>91</v>
      </c>
      <c r="G12" s="17" t="s">
        <v>92</v>
      </c>
      <c r="H12" s="6"/>
      <c r="I12" s="5" t="s">
        <v>75</v>
      </c>
    </row>
    <row r="13" customFormat="false" ht="15" hidden="false" customHeight="false" outlineLevel="0" collapsed="false">
      <c r="B13" s="19" t="s">
        <v>93</v>
      </c>
      <c r="C13" s="21" t="n">
        <v>90</v>
      </c>
      <c r="D13" s="22" t="n">
        <v>250</v>
      </c>
      <c r="E13" s="23" t="n">
        <v>0.06</v>
      </c>
      <c r="F13" s="23" t="n">
        <v>0.03</v>
      </c>
      <c r="G13" s="23" t="n">
        <v>0.25</v>
      </c>
      <c r="I13" s="2" t="s">
        <v>78</v>
      </c>
    </row>
    <row r="14" customFormat="false" ht="15" hidden="false" customHeight="false" outlineLevel="0" collapsed="false">
      <c r="B14" s="19" t="s">
        <v>94</v>
      </c>
      <c r="C14" s="21" t="n">
        <v>150</v>
      </c>
      <c r="D14" s="22" t="n">
        <v>40</v>
      </c>
      <c r="E14" s="23" t="n">
        <v>0.1</v>
      </c>
      <c r="F14" s="23" t="n">
        <v>0.03</v>
      </c>
      <c r="G14" s="23" t="n">
        <v>0.15</v>
      </c>
      <c r="I14" s="2" t="s">
        <v>78</v>
      </c>
    </row>
    <row r="15" customFormat="false" ht="15" hidden="false" customHeight="false" outlineLevel="0" collapsed="false">
      <c r="B15" s="19" t="s">
        <v>95</v>
      </c>
      <c r="C15" s="21" t="n">
        <v>350</v>
      </c>
      <c r="D15" s="22" t="n">
        <v>30</v>
      </c>
      <c r="E15" s="23" t="n">
        <v>0.05</v>
      </c>
      <c r="F15" s="23" t="n">
        <v>0.02</v>
      </c>
      <c r="G15" s="23" t="n">
        <v>0.5</v>
      </c>
      <c r="I15" s="2" t="s">
        <v>78</v>
      </c>
    </row>
    <row r="16" customFormat="false" ht="15" hidden="false" customHeight="false" outlineLevel="0" collapsed="false">
      <c r="B16" s="19" t="s">
        <v>96</v>
      </c>
      <c r="C16" s="21" t="n">
        <v>0</v>
      </c>
      <c r="D16" s="22" t="n">
        <v>0</v>
      </c>
      <c r="E16" s="23" t="n">
        <v>0</v>
      </c>
      <c r="F16" s="23" t="n">
        <v>0</v>
      </c>
      <c r="G16" s="23" t="n">
        <v>0</v>
      </c>
      <c r="I16" s="2" t="s">
        <v>97</v>
      </c>
    </row>
    <row r="17" customFormat="false" ht="15" hidden="false" customHeight="false" outlineLevel="0" collapsed="false">
      <c r="B17" s="19" t="s">
        <v>98</v>
      </c>
      <c r="C17" s="21" t="n">
        <v>0</v>
      </c>
      <c r="D17" s="22" t="n">
        <v>0</v>
      </c>
      <c r="E17" s="23" t="n">
        <v>0</v>
      </c>
      <c r="F17" s="23" t="n">
        <v>0</v>
      </c>
      <c r="G17" s="23" t="n">
        <v>0</v>
      </c>
      <c r="I17" s="2" t="s">
        <v>97</v>
      </c>
    </row>
    <row r="19" customFormat="false" ht="15" hidden="false" customHeight="false" outlineLevel="0" collapsed="false">
      <c r="B19" s="17" t="s">
        <v>99</v>
      </c>
      <c r="C19" s="17" t="s">
        <v>73</v>
      </c>
      <c r="D19" s="17" t="s">
        <v>74</v>
      </c>
      <c r="E19" s="6"/>
      <c r="F19" s="6"/>
      <c r="G19" s="6"/>
      <c r="H19" s="6"/>
      <c r="I19" s="5" t="s">
        <v>75</v>
      </c>
    </row>
    <row r="20" customFormat="false" ht="15" hidden="false" customHeight="false" outlineLevel="0" collapsed="false">
      <c r="B20" s="18" t="s">
        <v>100</v>
      </c>
      <c r="C20" s="23" t="n">
        <v>0.5</v>
      </c>
      <c r="D20" s="2" t="s">
        <v>101</v>
      </c>
      <c r="I20" s="2" t="s">
        <v>78</v>
      </c>
    </row>
    <row r="21" customFormat="false" ht="15" hidden="false" customHeight="false" outlineLevel="0" collapsed="false">
      <c r="B21" s="18" t="s">
        <v>102</v>
      </c>
      <c r="C21" s="23" t="n">
        <v>0.6</v>
      </c>
      <c r="D21" s="2" t="s">
        <v>101</v>
      </c>
      <c r="I21" s="2" t="s">
        <v>78</v>
      </c>
    </row>
    <row r="22" customFormat="false" ht="15" hidden="false" customHeight="false" outlineLevel="0" collapsed="false">
      <c r="B22" s="18" t="s">
        <v>103</v>
      </c>
      <c r="C22" s="23" t="n">
        <v>0.7</v>
      </c>
      <c r="D22" s="2" t="s">
        <v>101</v>
      </c>
      <c r="I22" s="2" t="s">
        <v>78</v>
      </c>
    </row>
    <row r="23" customFormat="false" ht="15" hidden="false" customHeight="false" outlineLevel="0" collapsed="false">
      <c r="B23" s="18" t="s">
        <v>104</v>
      </c>
      <c r="C23" s="23" t="n">
        <v>0.8</v>
      </c>
      <c r="D23" s="2" t="s">
        <v>101</v>
      </c>
      <c r="I23" s="2" t="s">
        <v>78</v>
      </c>
    </row>
    <row r="24" customFormat="false" ht="15" hidden="false" customHeight="false" outlineLevel="0" collapsed="false">
      <c r="B24" s="18" t="s">
        <v>105</v>
      </c>
      <c r="C24" s="23" t="n">
        <v>0.9</v>
      </c>
      <c r="D24" s="2" t="s">
        <v>101</v>
      </c>
      <c r="I24" s="2" t="s">
        <v>78</v>
      </c>
    </row>
    <row r="25" customFormat="false" ht="15" hidden="false" customHeight="false" outlineLevel="0" collapsed="false">
      <c r="B25" s="18" t="s">
        <v>106</v>
      </c>
      <c r="C25" s="23" t="n">
        <v>1</v>
      </c>
      <c r="D25" s="2" t="s">
        <v>101</v>
      </c>
      <c r="I25" s="2" t="s">
        <v>78</v>
      </c>
    </row>
    <row r="26" customFormat="false" ht="15" hidden="false" customHeight="false" outlineLevel="0" collapsed="false">
      <c r="B26" s="2" t="s">
        <v>107</v>
      </c>
    </row>
    <row r="28" customFormat="false" ht="15" hidden="false" customHeight="false" outlineLevel="0" collapsed="false">
      <c r="B28" s="17" t="s">
        <v>108</v>
      </c>
      <c r="C28" s="17" t="s">
        <v>73</v>
      </c>
      <c r="D28" s="17" t="s">
        <v>74</v>
      </c>
      <c r="E28" s="6"/>
      <c r="F28" s="6"/>
      <c r="G28" s="6"/>
      <c r="H28" s="6"/>
      <c r="I28" s="5" t="s">
        <v>75</v>
      </c>
    </row>
    <row r="29" customFormat="false" ht="15" hidden="false" customHeight="false" outlineLevel="0" collapsed="false">
      <c r="B29" s="18" t="s">
        <v>109</v>
      </c>
      <c r="C29" s="23" t="n">
        <v>0.9</v>
      </c>
      <c r="D29" s="2" t="s">
        <v>101</v>
      </c>
      <c r="I29" s="2" t="s">
        <v>78</v>
      </c>
    </row>
    <row r="30" customFormat="false" ht="15" hidden="false" customHeight="false" outlineLevel="0" collapsed="false">
      <c r="B30" s="18" t="s">
        <v>110</v>
      </c>
      <c r="C30" s="23" t="n">
        <v>0.9</v>
      </c>
      <c r="D30" s="2" t="s">
        <v>101</v>
      </c>
      <c r="I30" s="2" t="s">
        <v>78</v>
      </c>
    </row>
    <row r="31" customFormat="false" ht="15" hidden="false" customHeight="false" outlineLevel="0" collapsed="false">
      <c r="B31" s="18" t="s">
        <v>111</v>
      </c>
      <c r="C31" s="23" t="n">
        <v>1</v>
      </c>
      <c r="D31" s="2" t="s">
        <v>101</v>
      </c>
      <c r="I31" s="2" t="s">
        <v>78</v>
      </c>
    </row>
    <row r="32" customFormat="false" ht="15" hidden="false" customHeight="false" outlineLevel="0" collapsed="false">
      <c r="B32" s="18" t="s">
        <v>112</v>
      </c>
      <c r="C32" s="23" t="n">
        <v>1.05</v>
      </c>
      <c r="D32" s="2" t="s">
        <v>101</v>
      </c>
      <c r="I32" s="2" t="s">
        <v>78</v>
      </c>
    </row>
    <row r="33" customFormat="false" ht="15" hidden="false" customHeight="false" outlineLevel="0" collapsed="false">
      <c r="B33" s="18" t="s">
        <v>113</v>
      </c>
      <c r="C33" s="23" t="n">
        <v>1.1</v>
      </c>
      <c r="D33" s="2" t="s">
        <v>101</v>
      </c>
      <c r="I33" s="2" t="s">
        <v>78</v>
      </c>
    </row>
    <row r="34" customFormat="false" ht="15" hidden="false" customHeight="false" outlineLevel="0" collapsed="false">
      <c r="B34" s="18" t="s">
        <v>114</v>
      </c>
      <c r="C34" s="23" t="n">
        <v>1.1</v>
      </c>
      <c r="D34" s="2" t="s">
        <v>101</v>
      </c>
      <c r="I34" s="2" t="s">
        <v>78</v>
      </c>
    </row>
    <row r="35" customFormat="false" ht="15" hidden="false" customHeight="false" outlineLevel="0" collapsed="false">
      <c r="B35" s="18" t="s">
        <v>115</v>
      </c>
      <c r="C35" s="23" t="n">
        <v>1.05</v>
      </c>
      <c r="D35" s="2" t="s">
        <v>101</v>
      </c>
      <c r="I35" s="2" t="s">
        <v>78</v>
      </c>
    </row>
    <row r="36" customFormat="false" ht="15" hidden="false" customHeight="false" outlineLevel="0" collapsed="false">
      <c r="B36" s="18" t="s">
        <v>116</v>
      </c>
      <c r="C36" s="23" t="n">
        <v>1</v>
      </c>
      <c r="D36" s="2" t="s">
        <v>101</v>
      </c>
      <c r="I36" s="2" t="s">
        <v>78</v>
      </c>
    </row>
    <row r="37" customFormat="false" ht="15" hidden="false" customHeight="false" outlineLevel="0" collapsed="false">
      <c r="B37" s="18" t="s">
        <v>117</v>
      </c>
      <c r="C37" s="23" t="n">
        <v>1</v>
      </c>
      <c r="D37" s="2" t="s">
        <v>101</v>
      </c>
      <c r="I37" s="2" t="s">
        <v>78</v>
      </c>
    </row>
    <row r="38" customFormat="false" ht="15" hidden="false" customHeight="false" outlineLevel="0" collapsed="false">
      <c r="B38" s="18" t="s">
        <v>118</v>
      </c>
      <c r="C38" s="23" t="n">
        <v>1</v>
      </c>
      <c r="D38" s="2" t="s">
        <v>101</v>
      </c>
      <c r="I38" s="2" t="s">
        <v>78</v>
      </c>
    </row>
    <row r="39" customFormat="false" ht="15" hidden="false" customHeight="false" outlineLevel="0" collapsed="false">
      <c r="B39" s="18" t="s">
        <v>119</v>
      </c>
      <c r="C39" s="23" t="n">
        <v>0.95</v>
      </c>
      <c r="D39" s="2" t="s">
        <v>101</v>
      </c>
      <c r="I39" s="2" t="s">
        <v>78</v>
      </c>
    </row>
    <row r="40" customFormat="false" ht="15" hidden="false" customHeight="false" outlineLevel="0" collapsed="false">
      <c r="B40" s="18" t="s">
        <v>120</v>
      </c>
      <c r="C40" s="23" t="n">
        <v>0.95</v>
      </c>
      <c r="D40" s="2" t="s">
        <v>101</v>
      </c>
      <c r="I40" s="2" t="s">
        <v>78</v>
      </c>
    </row>
    <row r="41" customFormat="false" ht="15" hidden="false" customHeight="false" outlineLevel="0" collapsed="false">
      <c r="B41" s="13" t="s">
        <v>121</v>
      </c>
      <c r="C41" s="24" t="n">
        <f aca="false">AVERAGE(C29:C40)</f>
        <v>1</v>
      </c>
      <c r="I41" s="2" t="s">
        <v>122</v>
      </c>
    </row>
    <row r="43" customFormat="false" ht="15" hidden="false" customHeight="false" outlineLevel="0" collapsed="false">
      <c r="B43" s="13" t="s">
        <v>123</v>
      </c>
    </row>
    <row r="44" customFormat="false" ht="15" hidden="false" customHeight="false" outlineLevel="0" collapsed="false">
      <c r="B44" s="2" t="s">
        <v>124</v>
      </c>
    </row>
    <row r="45" customFormat="false" ht="54" hidden="false" customHeight="true" outlineLevel="0" collapsed="false">
      <c r="B45" s="17" t="s">
        <v>125</v>
      </c>
      <c r="C45" s="17" t="s">
        <v>126</v>
      </c>
      <c r="D45" s="17" t="s">
        <v>127</v>
      </c>
      <c r="E45" s="17" t="s">
        <v>128</v>
      </c>
      <c r="F45" s="17" t="s">
        <v>129</v>
      </c>
      <c r="G45" s="6"/>
      <c r="H45" s="6"/>
      <c r="I45" s="5" t="s">
        <v>75</v>
      </c>
    </row>
    <row r="46" customFormat="false" ht="15" hidden="false" customHeight="false" outlineLevel="0" collapsed="false">
      <c r="B46" s="19" t="s">
        <v>130</v>
      </c>
      <c r="C46" s="25" t="n">
        <v>1</v>
      </c>
      <c r="D46" s="26" t="n">
        <v>50000</v>
      </c>
      <c r="E46" s="21" t="n">
        <v>1</v>
      </c>
      <c r="F46" s="23" t="n">
        <v>0.03</v>
      </c>
      <c r="I46" s="2" t="s">
        <v>78</v>
      </c>
    </row>
    <row r="47" customFormat="false" ht="15" hidden="false" customHeight="false" outlineLevel="0" collapsed="false">
      <c r="B47" s="19" t="s">
        <v>131</v>
      </c>
      <c r="C47" s="25" t="n">
        <v>2</v>
      </c>
      <c r="D47" s="26" t="n">
        <v>40000</v>
      </c>
      <c r="E47" s="21" t="n">
        <v>1</v>
      </c>
      <c r="F47" s="23" t="n">
        <v>0.03</v>
      </c>
      <c r="I47" s="2" t="s">
        <v>78</v>
      </c>
    </row>
    <row r="48" customFormat="false" ht="15" hidden="false" customHeight="false" outlineLevel="0" collapsed="false">
      <c r="B48" s="19" t="s">
        <v>132</v>
      </c>
      <c r="C48" s="25" t="n">
        <v>1</v>
      </c>
      <c r="D48" s="26" t="n">
        <v>34000</v>
      </c>
      <c r="E48" s="21" t="n">
        <v>7</v>
      </c>
      <c r="F48" s="23" t="n">
        <v>0.03</v>
      </c>
      <c r="I48" s="2" t="s">
        <v>78</v>
      </c>
    </row>
    <row r="49" customFormat="false" ht="15" hidden="false" customHeight="false" outlineLevel="0" collapsed="false">
      <c r="B49" s="19" t="s">
        <v>133</v>
      </c>
      <c r="C49" s="25" t="n">
        <v>1</v>
      </c>
      <c r="D49" s="26" t="n">
        <v>40000</v>
      </c>
      <c r="E49" s="21" t="n">
        <v>25</v>
      </c>
      <c r="F49" s="23" t="n">
        <v>0.03</v>
      </c>
      <c r="I49" s="2" t="s">
        <v>78</v>
      </c>
    </row>
    <row r="50" customFormat="false" ht="15" hidden="false" customHeight="false" outlineLevel="0" collapsed="false">
      <c r="B50" s="19" t="s">
        <v>134</v>
      </c>
      <c r="C50" s="25" t="n">
        <v>0</v>
      </c>
      <c r="D50" s="26" t="n">
        <v>0</v>
      </c>
      <c r="E50" s="21" t="n">
        <v>1</v>
      </c>
      <c r="F50" s="23" t="n">
        <v>0</v>
      </c>
      <c r="I50" s="2" t="s">
        <v>135</v>
      </c>
    </row>
    <row r="51" customFormat="false" ht="15" hidden="false" customHeight="false" outlineLevel="0" collapsed="false">
      <c r="B51" s="19" t="s">
        <v>136</v>
      </c>
      <c r="C51" s="25" t="n">
        <v>0</v>
      </c>
      <c r="D51" s="26" t="n">
        <v>0</v>
      </c>
      <c r="E51" s="21" t="n">
        <v>1</v>
      </c>
      <c r="F51" s="23" t="n">
        <v>0</v>
      </c>
      <c r="I51" s="2" t="s">
        <v>135</v>
      </c>
    </row>
    <row r="52" customFormat="false" ht="15" hidden="false" customHeight="false" outlineLevel="0" collapsed="false">
      <c r="B52" s="19" t="s">
        <v>137</v>
      </c>
      <c r="C52" s="25" t="n">
        <v>0</v>
      </c>
      <c r="D52" s="26" t="n">
        <v>0</v>
      </c>
      <c r="E52" s="21" t="n">
        <v>1</v>
      </c>
      <c r="F52" s="23" t="n">
        <v>0</v>
      </c>
      <c r="I52" s="2" t="s">
        <v>135</v>
      </c>
    </row>
    <row r="53" customFormat="false" ht="15" hidden="false" customHeight="false" outlineLevel="0" collapsed="false">
      <c r="B53" s="19" t="s">
        <v>138</v>
      </c>
      <c r="C53" s="25" t="n">
        <v>0</v>
      </c>
      <c r="D53" s="26" t="n">
        <v>0</v>
      </c>
      <c r="E53" s="21" t="n">
        <v>1</v>
      </c>
      <c r="F53" s="23" t="n">
        <v>0</v>
      </c>
      <c r="I53" s="2" t="s">
        <v>135</v>
      </c>
    </row>
    <row r="54" customFormat="false" ht="15" hidden="false" customHeight="false" outlineLevel="0" collapsed="false">
      <c r="B54" s="19" t="s">
        <v>139</v>
      </c>
      <c r="C54" s="25" t="n">
        <v>0</v>
      </c>
      <c r="D54" s="26" t="n">
        <v>0</v>
      </c>
      <c r="E54" s="21" t="n">
        <v>1</v>
      </c>
      <c r="F54" s="23" t="n">
        <v>0</v>
      </c>
      <c r="I54" s="2" t="s">
        <v>135</v>
      </c>
    </row>
    <row r="55" customFormat="false" ht="15" hidden="false" customHeight="false" outlineLevel="0" collapsed="false">
      <c r="B55" s="19" t="s">
        <v>140</v>
      </c>
      <c r="C55" s="25" t="n">
        <v>0</v>
      </c>
      <c r="D55" s="26" t="n">
        <v>0</v>
      </c>
      <c r="E55" s="21" t="n">
        <v>1</v>
      </c>
      <c r="F55" s="23" t="n">
        <v>0</v>
      </c>
      <c r="I55" s="2" t="s">
        <v>135</v>
      </c>
    </row>
    <row r="57" customFormat="false" ht="15" hidden="false" customHeight="false" outlineLevel="0" collapsed="false">
      <c r="B57" s="17" t="s">
        <v>141</v>
      </c>
      <c r="C57" s="17" t="s">
        <v>73</v>
      </c>
      <c r="D57" s="17" t="s">
        <v>74</v>
      </c>
      <c r="E57" s="6"/>
      <c r="F57" s="6"/>
      <c r="G57" s="6"/>
      <c r="H57" s="6"/>
      <c r="I57" s="5" t="s">
        <v>75</v>
      </c>
    </row>
    <row r="58" customFormat="false" ht="15" hidden="false" customHeight="false" outlineLevel="0" collapsed="false">
      <c r="B58" s="18" t="s">
        <v>142</v>
      </c>
      <c r="C58" s="27" t="n">
        <v>0.0765</v>
      </c>
      <c r="D58" s="2" t="s">
        <v>143</v>
      </c>
      <c r="I58" s="18" t="s">
        <v>144</v>
      </c>
    </row>
    <row r="59" customFormat="false" ht="15" hidden="false" customHeight="false" outlineLevel="0" collapsed="false">
      <c r="B59" s="18" t="s">
        <v>145</v>
      </c>
      <c r="C59" s="23" t="n">
        <v>0.08</v>
      </c>
      <c r="D59" s="2" t="s">
        <v>143</v>
      </c>
      <c r="I59" s="2" t="s">
        <v>146</v>
      </c>
    </row>
    <row r="61" customFormat="false" ht="15" hidden="false" customHeight="false" outlineLevel="0" collapsed="false">
      <c r="B61" s="17" t="s">
        <v>147</v>
      </c>
      <c r="C61" s="17" t="s">
        <v>73</v>
      </c>
      <c r="D61" s="17" t="s">
        <v>74</v>
      </c>
      <c r="E61" s="6"/>
      <c r="F61" s="6"/>
      <c r="G61" s="6"/>
      <c r="H61" s="6"/>
      <c r="I61" s="5" t="s">
        <v>75</v>
      </c>
    </row>
    <row r="62" customFormat="false" ht="15" hidden="false" customHeight="false" outlineLevel="0" collapsed="false">
      <c r="B62" s="18" t="s">
        <v>148</v>
      </c>
      <c r="C62" s="26" t="n">
        <v>30000</v>
      </c>
      <c r="D62" s="2" t="s">
        <v>149</v>
      </c>
      <c r="I62" s="2" t="s">
        <v>78</v>
      </c>
    </row>
    <row r="63" customFormat="false" ht="15" hidden="false" customHeight="false" outlineLevel="0" collapsed="false">
      <c r="B63" s="18" t="s">
        <v>150</v>
      </c>
      <c r="C63" s="26" t="n">
        <v>8000</v>
      </c>
      <c r="D63" s="2" t="s">
        <v>149</v>
      </c>
      <c r="I63" s="2" t="s">
        <v>78</v>
      </c>
    </row>
    <row r="64" customFormat="false" ht="15" hidden="false" customHeight="false" outlineLevel="0" collapsed="false">
      <c r="B64" s="18" t="s">
        <v>151</v>
      </c>
      <c r="C64" s="26" t="n">
        <v>15000</v>
      </c>
      <c r="D64" s="2" t="s">
        <v>149</v>
      </c>
      <c r="I64" s="2" t="s">
        <v>78</v>
      </c>
    </row>
    <row r="65" customFormat="false" ht="15" hidden="false" customHeight="false" outlineLevel="0" collapsed="false">
      <c r="B65" s="18" t="s">
        <v>152</v>
      </c>
      <c r="C65" s="26" t="n">
        <v>35000</v>
      </c>
      <c r="D65" s="2" t="s">
        <v>149</v>
      </c>
      <c r="I65" s="2" t="s">
        <v>78</v>
      </c>
    </row>
    <row r="66" customFormat="false" ht="15" hidden="false" customHeight="false" outlineLevel="0" collapsed="false">
      <c r="B66" s="18" t="s">
        <v>153</v>
      </c>
      <c r="C66" s="26" t="n">
        <v>6000</v>
      </c>
      <c r="D66" s="2" t="s">
        <v>149</v>
      </c>
      <c r="I66" s="2" t="s">
        <v>78</v>
      </c>
    </row>
    <row r="67" customFormat="false" ht="15" hidden="false" customHeight="false" outlineLevel="0" collapsed="false">
      <c r="B67" s="18" t="s">
        <v>154</v>
      </c>
      <c r="C67" s="26" t="n">
        <v>10000</v>
      </c>
      <c r="D67" s="2" t="s">
        <v>149</v>
      </c>
      <c r="I67" s="2" t="s">
        <v>155</v>
      </c>
    </row>
    <row r="68" customFormat="false" ht="15" hidden="false" customHeight="false" outlineLevel="0" collapsed="false">
      <c r="B68" s="18" t="s">
        <v>156</v>
      </c>
      <c r="C68" s="26" t="n">
        <v>5000</v>
      </c>
      <c r="D68" s="2" t="s">
        <v>149</v>
      </c>
      <c r="I68" s="2" t="s">
        <v>157</v>
      </c>
    </row>
    <row r="69" customFormat="false" ht="15" hidden="false" customHeight="false" outlineLevel="0" collapsed="false">
      <c r="B69" s="18" t="s">
        <v>158</v>
      </c>
      <c r="C69" s="26" t="n">
        <v>1500</v>
      </c>
      <c r="D69" s="2" t="s">
        <v>149</v>
      </c>
      <c r="I69" s="2" t="s">
        <v>159</v>
      </c>
    </row>
    <row r="70" customFormat="false" ht="15" hidden="false" customHeight="false" outlineLevel="0" collapsed="false">
      <c r="B70" s="18" t="s">
        <v>160</v>
      </c>
      <c r="C70" s="26" t="n">
        <v>3500</v>
      </c>
      <c r="D70" s="2" t="s">
        <v>149</v>
      </c>
      <c r="I70" s="2" t="s">
        <v>159</v>
      </c>
    </row>
    <row r="71" customFormat="false" ht="15" hidden="false" customHeight="false" outlineLevel="0" collapsed="false">
      <c r="B71" s="18" t="s">
        <v>161</v>
      </c>
      <c r="C71" s="26" t="n">
        <v>5000</v>
      </c>
      <c r="D71" s="2" t="s">
        <v>149</v>
      </c>
      <c r="I71" s="2" t="s">
        <v>159</v>
      </c>
    </row>
    <row r="72" customFormat="false" ht="15" hidden="false" customHeight="false" outlineLevel="0" collapsed="false">
      <c r="B72" s="18" t="s">
        <v>162</v>
      </c>
      <c r="C72" s="26" t="n">
        <v>6000</v>
      </c>
      <c r="D72" s="2" t="s">
        <v>149</v>
      </c>
      <c r="I72" s="2" t="s">
        <v>159</v>
      </c>
    </row>
    <row r="73" customFormat="false" ht="15" hidden="false" customHeight="false" outlineLevel="0" collapsed="false">
      <c r="B73" s="18" t="s">
        <v>163</v>
      </c>
      <c r="C73" s="26" t="n">
        <v>5000</v>
      </c>
      <c r="D73" s="2" t="s">
        <v>149</v>
      </c>
      <c r="I73" s="2" t="s">
        <v>159</v>
      </c>
    </row>
    <row r="74" customFormat="false" ht="15" hidden="false" customHeight="false" outlineLevel="0" collapsed="false">
      <c r="B74" s="18" t="s">
        <v>164</v>
      </c>
      <c r="C74" s="26" t="n">
        <v>40000</v>
      </c>
      <c r="D74" s="2" t="s">
        <v>149</v>
      </c>
      <c r="I74" s="2" t="s">
        <v>78</v>
      </c>
    </row>
    <row r="75" customFormat="false" ht="15" hidden="false" customHeight="false" outlineLevel="0" collapsed="false">
      <c r="B75" s="18" t="s">
        <v>165</v>
      </c>
      <c r="C75" s="21" t="n">
        <v>7</v>
      </c>
      <c r="D75" s="2" t="s">
        <v>166</v>
      </c>
      <c r="I75" s="2" t="s">
        <v>167</v>
      </c>
    </row>
    <row r="76" customFormat="false" ht="15" hidden="false" customHeight="false" outlineLevel="0" collapsed="false">
      <c r="B76" s="18" t="s">
        <v>168</v>
      </c>
      <c r="C76" s="21" t="n">
        <v>7</v>
      </c>
      <c r="D76" s="2" t="s">
        <v>166</v>
      </c>
      <c r="I76" s="2" t="s">
        <v>167</v>
      </c>
    </row>
    <row r="77" customFormat="false" ht="15" hidden="false" customHeight="false" outlineLevel="0" collapsed="false">
      <c r="B77" s="18" t="s">
        <v>169</v>
      </c>
      <c r="C77" s="21" t="n">
        <v>10</v>
      </c>
      <c r="D77" s="2" t="s">
        <v>166</v>
      </c>
      <c r="I77" s="2" t="s">
        <v>167</v>
      </c>
    </row>
    <row r="78" customFormat="false" ht="15" hidden="false" customHeight="false" outlineLevel="0" collapsed="false">
      <c r="B78" s="18" t="s">
        <v>170</v>
      </c>
      <c r="C78" s="21" t="n">
        <v>5</v>
      </c>
      <c r="D78" s="2" t="s">
        <v>166</v>
      </c>
      <c r="I78" s="2" t="s">
        <v>167</v>
      </c>
    </row>
    <row r="79" customFormat="false" ht="15" hidden="false" customHeight="false" outlineLevel="0" collapsed="false">
      <c r="B79" s="18" t="s">
        <v>171</v>
      </c>
      <c r="C79" s="21" t="n">
        <v>3</v>
      </c>
      <c r="D79" s="2" t="s">
        <v>166</v>
      </c>
      <c r="I79" s="2" t="s">
        <v>167</v>
      </c>
    </row>
    <row r="81" customFormat="false" ht="15" hidden="false" customHeight="false" outlineLevel="0" collapsed="false">
      <c r="B81" s="17" t="s">
        <v>172</v>
      </c>
      <c r="C81" s="17" t="s">
        <v>73</v>
      </c>
      <c r="D81" s="17" t="s">
        <v>74</v>
      </c>
      <c r="E81" s="6"/>
      <c r="F81" s="6"/>
      <c r="G81" s="6"/>
      <c r="H81" s="6"/>
      <c r="I81" s="5" t="s">
        <v>75</v>
      </c>
    </row>
    <row r="82" customFormat="false" ht="15" hidden="false" customHeight="false" outlineLevel="0" collapsed="false">
      <c r="B82" s="18" t="s">
        <v>173</v>
      </c>
      <c r="C82" s="26" t="n">
        <v>2200</v>
      </c>
      <c r="D82" s="2" t="s">
        <v>174</v>
      </c>
      <c r="I82" s="2" t="s">
        <v>175</v>
      </c>
    </row>
    <row r="83" customFormat="false" ht="15" hidden="false" customHeight="false" outlineLevel="0" collapsed="false">
      <c r="B83" s="18" t="s">
        <v>176</v>
      </c>
      <c r="C83" s="26" t="n">
        <v>350</v>
      </c>
      <c r="D83" s="2" t="s">
        <v>174</v>
      </c>
      <c r="I83" s="2" t="s">
        <v>78</v>
      </c>
    </row>
    <row r="84" customFormat="false" ht="15" hidden="false" customHeight="false" outlineLevel="0" collapsed="false">
      <c r="B84" s="18" t="s">
        <v>177</v>
      </c>
      <c r="C84" s="26" t="n">
        <v>300</v>
      </c>
      <c r="D84" s="2" t="s">
        <v>174</v>
      </c>
      <c r="I84" s="2" t="s">
        <v>178</v>
      </c>
    </row>
    <row r="85" customFormat="false" ht="15" hidden="false" customHeight="false" outlineLevel="0" collapsed="false">
      <c r="B85" s="18" t="s">
        <v>179</v>
      </c>
      <c r="C85" s="26" t="n">
        <v>250</v>
      </c>
      <c r="D85" s="2" t="s">
        <v>174</v>
      </c>
      <c r="I85" s="2" t="s">
        <v>78</v>
      </c>
    </row>
    <row r="86" customFormat="false" ht="15" hidden="false" customHeight="false" outlineLevel="0" collapsed="false">
      <c r="B86" s="18" t="s">
        <v>180</v>
      </c>
      <c r="C86" s="26" t="n">
        <v>400</v>
      </c>
      <c r="D86" s="2" t="s">
        <v>174</v>
      </c>
      <c r="I86" s="2" t="s">
        <v>78</v>
      </c>
    </row>
    <row r="87" customFormat="false" ht="15" hidden="false" customHeight="false" outlineLevel="0" collapsed="false">
      <c r="B87" s="18" t="s">
        <v>181</v>
      </c>
      <c r="C87" s="26" t="n">
        <v>400</v>
      </c>
      <c r="D87" s="2" t="s">
        <v>174</v>
      </c>
      <c r="I87" s="2" t="s">
        <v>78</v>
      </c>
    </row>
    <row r="88" customFormat="false" ht="15" hidden="false" customHeight="false" outlineLevel="0" collapsed="false">
      <c r="B88" s="18" t="s">
        <v>182</v>
      </c>
      <c r="C88" s="26" t="n">
        <v>500</v>
      </c>
      <c r="D88" s="2" t="s">
        <v>174</v>
      </c>
      <c r="I88" s="2" t="s">
        <v>78</v>
      </c>
    </row>
    <row r="89" customFormat="false" ht="15" hidden="false" customHeight="false" outlineLevel="0" collapsed="false">
      <c r="B89" s="18" t="s">
        <v>183</v>
      </c>
      <c r="C89" s="26" t="n">
        <v>300</v>
      </c>
      <c r="D89" s="2" t="s">
        <v>174</v>
      </c>
      <c r="I89" s="2" t="s">
        <v>78</v>
      </c>
    </row>
    <row r="90" customFormat="false" ht="15" hidden="false" customHeight="false" outlineLevel="0" collapsed="false">
      <c r="B90" s="18" t="s">
        <v>184</v>
      </c>
      <c r="C90" s="23" t="n">
        <v>0.03</v>
      </c>
      <c r="D90" s="2" t="s">
        <v>101</v>
      </c>
      <c r="I90" s="2" t="s">
        <v>175</v>
      </c>
    </row>
    <row r="91" customFormat="false" ht="15" hidden="false" customHeight="false" outlineLevel="0" collapsed="false">
      <c r="B91" s="18" t="s">
        <v>185</v>
      </c>
      <c r="C91" s="23" t="n">
        <v>0.03</v>
      </c>
      <c r="D91" s="2" t="s">
        <v>101</v>
      </c>
      <c r="I91" s="2" t="s">
        <v>78</v>
      </c>
    </row>
    <row r="92" customFormat="false" ht="15" hidden="false" customHeight="false" outlineLevel="0" collapsed="false">
      <c r="B92" s="18" t="s">
        <v>186</v>
      </c>
      <c r="C92" s="23" t="n">
        <v>0.03</v>
      </c>
      <c r="D92" s="2" t="s">
        <v>187</v>
      </c>
      <c r="I92" s="2" t="s">
        <v>188</v>
      </c>
    </row>
    <row r="93" customFormat="false" ht="15" hidden="false" customHeight="false" outlineLevel="0" collapsed="false">
      <c r="B93" s="18" t="s">
        <v>189</v>
      </c>
      <c r="C93" s="23" t="n">
        <v>0.02</v>
      </c>
      <c r="D93" s="2" t="s">
        <v>187</v>
      </c>
      <c r="I93" s="2" t="s">
        <v>78</v>
      </c>
    </row>
    <row r="94" customFormat="false" ht="15" hidden="false" customHeight="false" outlineLevel="0" collapsed="false">
      <c r="B94" s="18" t="s">
        <v>190</v>
      </c>
      <c r="C94" s="23" t="n">
        <v>0.01</v>
      </c>
      <c r="D94" s="2" t="s">
        <v>187</v>
      </c>
      <c r="I94" s="2" t="s">
        <v>78</v>
      </c>
    </row>
    <row r="96" customFormat="false" ht="15" hidden="false" customHeight="false" outlineLevel="0" collapsed="false">
      <c r="B96" s="17" t="s">
        <v>191</v>
      </c>
      <c r="C96" s="17" t="s">
        <v>73</v>
      </c>
      <c r="D96" s="17" t="s">
        <v>74</v>
      </c>
      <c r="E96" s="6"/>
      <c r="F96" s="6"/>
      <c r="G96" s="6"/>
      <c r="H96" s="6"/>
      <c r="I96" s="5" t="s">
        <v>75</v>
      </c>
    </row>
    <row r="97" customFormat="false" ht="15" hidden="false" customHeight="false" outlineLevel="0" collapsed="false">
      <c r="B97" s="18" t="s">
        <v>192</v>
      </c>
      <c r="C97" s="26" t="n">
        <v>110000</v>
      </c>
      <c r="D97" s="2" t="s">
        <v>149</v>
      </c>
      <c r="I97" s="2" t="s">
        <v>193</v>
      </c>
    </row>
    <row r="98" customFormat="false" ht="15" hidden="false" customHeight="false" outlineLevel="0" collapsed="false">
      <c r="B98" s="18" t="s">
        <v>194</v>
      </c>
      <c r="C98" s="27" t="n">
        <v>0.09</v>
      </c>
      <c r="D98" s="2" t="s">
        <v>101</v>
      </c>
      <c r="I98" s="2" t="s">
        <v>195</v>
      </c>
    </row>
    <row r="99" customFormat="false" ht="15" hidden="false" customHeight="false" outlineLevel="0" collapsed="false">
      <c r="B99" s="18" t="s">
        <v>196</v>
      </c>
      <c r="C99" s="21" t="n">
        <v>7</v>
      </c>
      <c r="D99" s="2" t="s">
        <v>166</v>
      </c>
      <c r="I99" s="2" t="s">
        <v>197</v>
      </c>
    </row>
    <row r="100" customFormat="false" ht="15" hidden="false" customHeight="false" outlineLevel="0" collapsed="false">
      <c r="B100" s="18" t="s">
        <v>198</v>
      </c>
      <c r="C100" s="26" t="n">
        <v>50000</v>
      </c>
      <c r="D100" s="2" t="s">
        <v>149</v>
      </c>
      <c r="I100" s="2" t="s">
        <v>78</v>
      </c>
    </row>
    <row r="101" customFormat="false" ht="15" hidden="false" customHeight="false" outlineLevel="0" collapsed="false">
      <c r="B101" s="18" t="s">
        <v>199</v>
      </c>
      <c r="C101" s="26" t="n">
        <v>10000</v>
      </c>
      <c r="D101" s="2" t="s">
        <v>149</v>
      </c>
      <c r="I101" s="2" t="s">
        <v>78</v>
      </c>
    </row>
    <row r="102" customFormat="false" ht="15" hidden="false" customHeight="false" outlineLevel="0" collapsed="false">
      <c r="B102" s="18" t="s">
        <v>200</v>
      </c>
      <c r="C102" s="26" t="n">
        <v>0</v>
      </c>
      <c r="D102" s="2" t="s">
        <v>174</v>
      </c>
      <c r="I102" s="2" t="s">
        <v>201</v>
      </c>
    </row>
    <row r="103" customFormat="false" ht="15" hidden="false" customHeight="false" outlineLevel="0" collapsed="false">
      <c r="B103" s="18" t="s">
        <v>202</v>
      </c>
      <c r="C103" s="23" t="n">
        <v>0</v>
      </c>
      <c r="D103" s="2" t="s">
        <v>101</v>
      </c>
      <c r="I103" s="2" t="s">
        <v>203</v>
      </c>
    </row>
    <row r="104" customFormat="false" ht="15" hidden="false" customHeight="false" outlineLevel="0" collapsed="false">
      <c r="B104" s="18" t="s">
        <v>204</v>
      </c>
      <c r="C104" s="23" t="n">
        <v>0.25</v>
      </c>
      <c r="D104" s="2" t="s">
        <v>101</v>
      </c>
      <c r="I104" s="2" t="s">
        <v>205</v>
      </c>
    </row>
    <row r="106" customFormat="false" ht="15" hidden="false" customHeight="false" outlineLevel="0" collapsed="false">
      <c r="B106" s="17" t="s">
        <v>206</v>
      </c>
      <c r="C106" s="17" t="s">
        <v>73</v>
      </c>
      <c r="D106" s="17" t="s">
        <v>74</v>
      </c>
      <c r="E106" s="6"/>
      <c r="F106" s="6"/>
      <c r="G106" s="6"/>
      <c r="H106" s="6"/>
      <c r="I106" s="5" t="s">
        <v>75</v>
      </c>
    </row>
    <row r="107" customFormat="false" ht="15" hidden="false" customHeight="false" outlineLevel="0" collapsed="false">
      <c r="B107" s="18" t="s">
        <v>207</v>
      </c>
      <c r="C107" s="24" t="n">
        <f aca="false">Assumptions!$C$92+Assumptions!$C$93+Assumptions!$C$94</f>
        <v>0.06</v>
      </c>
      <c r="D107" s="2" t="s">
        <v>101</v>
      </c>
      <c r="I107" s="2" t="s">
        <v>208</v>
      </c>
    </row>
    <row r="108" customFormat="false" ht="15" hidden="false" customHeight="false" outlineLevel="0" collapsed="false">
      <c r="B108" s="18" t="s">
        <v>209</v>
      </c>
      <c r="C108" s="14" t="n">
        <f aca="false">SUM(C62:C74)</f>
        <v>170000</v>
      </c>
      <c r="D108" s="2" t="s">
        <v>149</v>
      </c>
      <c r="I108" s="2" t="s">
        <v>210</v>
      </c>
    </row>
    <row r="109" customFormat="false" ht="15" hidden="false" customHeight="false" outlineLevel="0" collapsed="false">
      <c r="B109" s="18" t="s">
        <v>211</v>
      </c>
      <c r="C109" s="14" t="n">
        <f aca="false">Assumptions!$C$62+Assumptions!$C$63+Assumptions!$C$64+Assumptions!$C$65+Assumptions!$C$66</f>
        <v>94000</v>
      </c>
      <c r="D109" s="2" t="s">
        <v>149</v>
      </c>
      <c r="I109" s="2"/>
    </row>
    <row r="110" customFormat="false" ht="15" hidden="false" customHeight="false" outlineLevel="0" collapsed="false">
      <c r="B110" s="18" t="s">
        <v>212</v>
      </c>
      <c r="C110" s="14" t="n">
        <f aca="false">Assumptions!$C$69+Assumptions!$C$70+Assumptions!$C$71+Assumptions!$C$72+Assumptions!$C$73</f>
        <v>21000</v>
      </c>
      <c r="D110" s="2" t="s">
        <v>149</v>
      </c>
      <c r="I110" s="2"/>
    </row>
    <row r="111" customFormat="false" ht="15" hidden="false" customHeight="false" outlineLevel="0" collapsed="false">
      <c r="B111" s="18" t="s">
        <v>213</v>
      </c>
      <c r="C111" s="14" t="n">
        <f aca="false">Assumptions!$C$97+Assumptions!$C$100+Assumptions!$C$101</f>
        <v>170000</v>
      </c>
      <c r="D111" s="2" t="s">
        <v>149</v>
      </c>
      <c r="I111" s="2"/>
    </row>
  </sheetData>
  <dataValidations count="9">
    <dataValidation allowBlank="true" error="Enter a percentage between 0% and 100%." errorStyle="stop" errorTitle="Percentage 0%-100%" operator="between" prompt="Enter a percentage between 0% and 100%." promptTitle="Percentage 0%-100%" showDropDown="false" showErrorMessage="true" showInputMessage="true" sqref="G13:G17 C58:C59 C92:C94 C98 C103:C104" type="decimal">
      <formula1>0</formula1>
      <formula2>1</formula2>
    </dataValidation>
    <dataValidation allowBlank="true" error="Enter a yearly change between -100% and 100% (3% = 0.03)." errorStyle="stop" errorTitle="Yearly change" operator="between" prompt="Enter a yearly change between -100% and 100% (3% = 0.03)." promptTitle="Yearly change" showDropDown="false" showErrorMessage="true" showInputMessage="true" sqref="E13:F17 F46:F55 C90:C91" type="decimal">
      <formula1>-1</formula1>
      <formula2>1</formula2>
    </dataValidation>
    <dataValidation allowBlank="true" error="Enter a factor between 0% and 200% of full (average) volume." errorStyle="stop" errorTitle="Factor 0%-200%" operator="between" prompt="Enter a factor between 0% and 200% of full (average) volume." promptTitle="Factor 0%-200%" showDropDown="false" showErrorMessage="true" showInputMessage="true" sqref="C20:C25 C29:C40" type="decimal">
      <formula1>0</formula1>
      <formula2>2</formula2>
    </dataValidation>
    <dataValidation allowBlank="true" error="Loan term must be a whole number of years from 1 to 30." errorStyle="stop" errorTitle="Loan term 1-30 years" operator="between" prompt="Loan term must be a whole number of years from 1 to 30." promptTitle="Loan term 1-30 years" showDropDown="false" showErrorMessage="true" showInputMessage="true" sqref="C99" type="whole">
      <formula1>1</formula1>
      <formula2>30</formula2>
    </dataValidation>
    <dataValidation allowBlank="true" error="Enter a whole number of years from 1 to 50." errorStyle="stop" errorTitle="Depreciation life" operator="between" prompt="Enter a whole number of years from 1 to 50." promptTitle="Depreciation life" showDropDown="false" showErrorMessage="true" showInputMessage="true" sqref="C75:C79" type="whole">
      <formula1>1</formula1>
      <formula2>50</formula2>
    </dataValidation>
    <dataValidation allowBlank="true" error="Start month must be a whole number from 1 (first month of operations) to 60 (the last model month)." errorStyle="stop" errorTitle="Start month 1-60" operator="between" prompt="Start month must be a whole number from 1 (first month of operations) to 60 (the last model month)." promptTitle="Start month 1-60" showDropDown="false" showErrorMessage="true" showInputMessage="true" sqref="E46:E55" type="whole">
      <formula1>1</formula1>
      <formula2>60</formula2>
    </dataValidation>
    <dataValidation allowBlank="true" error="Enter an amount of 0 or more (no negative values)." errorStyle="stop" errorTitle="Amount 0 or more" operator="greaterThanOrEqual" prompt="Enter an amount of 0 or more (no negative values)." promptTitle="Amount 0 or more" showDropDown="false" showErrorMessage="true" showInputMessage="true" sqref="C13:D17 C46:D55 C62:C74 C82:C89 C97 C100:C102" type="decimal">
      <formula1>0</formula1>
      <formula2>0</formula2>
    </dataValidation>
    <dataValidation allowBlank="true" error="Enter a date (the 1st of the month) between Jan 2000 and Dec 2099." errorStyle="stop" errorTitle="First month of operations" operator="between" prompt="Enter a date (the 1st of the month) between Jan 2000 and Dec 2099." promptTitle="First month of operations" showDropDown="false" showErrorMessage="true" showInputMessage="true" sqref="C7" type="date">
      <formula1>36526</formula1>
      <formula2>73020</formula2>
    </dataValidation>
    <dataValidation allowBlank="true" error="Enter a label of up to 80 characters." errorStyle="stop" errorTitle="Text up to 80 characters" operator="lessThanOrEqual" prompt="Enter a label of up to 80 characters." promptTitle="Text up to 80 characters" showDropDown="false" showErrorMessage="true" showInputMessage="true" sqref="C6 C8 B13:B17 B46:B55" type="textLength">
      <formula1>80</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O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2" min="2" style="0" width="10"/>
    <col collapsed="false" customWidth="true" hidden="false" outlineLevel="0" max="62" min="3" style="0" width="11"/>
    <col collapsed="false" customWidth="true" hidden="false" outlineLevel="0" max="67" min="63" style="0" width="13"/>
  </cols>
  <sheetData>
    <row r="1" customFormat="false" ht="17.35" hidden="false" customHeight="false" outlineLevel="0" collapsed="false">
      <c r="A1" s="1" t="s">
        <v>214</v>
      </c>
    </row>
    <row r="2" customFormat="false" ht="15" hidden="false" customHeight="false" outlineLevel="0" collapsed="false">
      <c r="A2" s="2" t="s">
        <v>215</v>
      </c>
    </row>
    <row r="4" customFormat="false" ht="15" hidden="false" customHeight="false" outlineLevel="0" collapsed="false">
      <c r="A4" s="13" t="s">
        <v>216</v>
      </c>
      <c r="C4" s="28" t="n">
        <v>1</v>
      </c>
      <c r="D4" s="28" t="n">
        <v>2</v>
      </c>
      <c r="E4" s="28" t="n">
        <v>3</v>
      </c>
      <c r="F4" s="28" t="n">
        <v>4</v>
      </c>
      <c r="G4" s="28" t="n">
        <v>5</v>
      </c>
      <c r="H4" s="28" t="n">
        <v>6</v>
      </c>
      <c r="I4" s="28" t="n">
        <v>7</v>
      </c>
      <c r="J4" s="28" t="n">
        <v>8</v>
      </c>
      <c r="K4" s="28" t="n">
        <v>9</v>
      </c>
      <c r="L4" s="28" t="n">
        <v>10</v>
      </c>
      <c r="M4" s="28" t="n">
        <v>11</v>
      </c>
      <c r="N4" s="28" t="n">
        <v>12</v>
      </c>
      <c r="O4" s="28" t="n">
        <v>13</v>
      </c>
      <c r="P4" s="28" t="n">
        <v>14</v>
      </c>
      <c r="Q4" s="28" t="n">
        <v>15</v>
      </c>
      <c r="R4" s="28" t="n">
        <v>16</v>
      </c>
      <c r="S4" s="28" t="n">
        <v>17</v>
      </c>
      <c r="T4" s="28" t="n">
        <v>18</v>
      </c>
      <c r="U4" s="28" t="n">
        <v>19</v>
      </c>
      <c r="V4" s="28" t="n">
        <v>20</v>
      </c>
      <c r="W4" s="28" t="n">
        <v>21</v>
      </c>
      <c r="X4" s="28" t="n">
        <v>22</v>
      </c>
      <c r="Y4" s="28" t="n">
        <v>23</v>
      </c>
      <c r="Z4" s="28" t="n">
        <v>24</v>
      </c>
      <c r="AA4" s="28" t="n">
        <v>25</v>
      </c>
      <c r="AB4" s="28" t="n">
        <v>26</v>
      </c>
      <c r="AC4" s="28" t="n">
        <v>27</v>
      </c>
      <c r="AD4" s="28" t="n">
        <v>28</v>
      </c>
      <c r="AE4" s="28" t="n">
        <v>29</v>
      </c>
      <c r="AF4" s="28" t="n">
        <v>30</v>
      </c>
      <c r="AG4" s="28" t="n">
        <v>31</v>
      </c>
      <c r="AH4" s="28" t="n">
        <v>32</v>
      </c>
      <c r="AI4" s="28" t="n">
        <v>33</v>
      </c>
      <c r="AJ4" s="28" t="n">
        <v>34</v>
      </c>
      <c r="AK4" s="28" t="n">
        <v>35</v>
      </c>
      <c r="AL4" s="28" t="n">
        <v>36</v>
      </c>
      <c r="AM4" s="28" t="n">
        <v>37</v>
      </c>
      <c r="AN4" s="28" t="n">
        <v>38</v>
      </c>
      <c r="AO4" s="28" t="n">
        <v>39</v>
      </c>
      <c r="AP4" s="28" t="n">
        <v>40</v>
      </c>
      <c r="AQ4" s="28" t="n">
        <v>41</v>
      </c>
      <c r="AR4" s="28" t="n">
        <v>42</v>
      </c>
      <c r="AS4" s="28" t="n">
        <v>43</v>
      </c>
      <c r="AT4" s="28" t="n">
        <v>44</v>
      </c>
      <c r="AU4" s="28" t="n">
        <v>45</v>
      </c>
      <c r="AV4" s="28" t="n">
        <v>46</v>
      </c>
      <c r="AW4" s="28" t="n">
        <v>47</v>
      </c>
      <c r="AX4" s="28" t="n">
        <v>48</v>
      </c>
      <c r="AY4" s="28" t="n">
        <v>49</v>
      </c>
      <c r="AZ4" s="28" t="n">
        <v>50</v>
      </c>
      <c r="BA4" s="28" t="n">
        <v>51</v>
      </c>
      <c r="BB4" s="28" t="n">
        <v>52</v>
      </c>
      <c r="BC4" s="28" t="n">
        <v>53</v>
      </c>
      <c r="BD4" s="28" t="n">
        <v>54</v>
      </c>
      <c r="BE4" s="28" t="n">
        <v>55</v>
      </c>
      <c r="BF4" s="28" t="n">
        <v>56</v>
      </c>
      <c r="BG4" s="28" t="n">
        <v>57</v>
      </c>
      <c r="BH4" s="28" t="n">
        <v>58</v>
      </c>
      <c r="BI4" s="28" t="n">
        <v>59</v>
      </c>
      <c r="BJ4" s="28" t="n">
        <v>60</v>
      </c>
      <c r="BK4" s="29" t="s">
        <v>217</v>
      </c>
      <c r="BL4" s="29" t="s">
        <v>217</v>
      </c>
      <c r="BM4" s="29" t="s">
        <v>217</v>
      </c>
      <c r="BN4" s="29" t="s">
        <v>217</v>
      </c>
      <c r="BO4" s="29" t="s">
        <v>217</v>
      </c>
    </row>
    <row r="5" customFormat="false" ht="15" hidden="false" customHeight="false" outlineLevel="0" collapsed="false">
      <c r="A5" s="13" t="s">
        <v>218</v>
      </c>
      <c r="C5" s="30" t="n">
        <f aca="false">INT((C4-1)/12)+1</f>
        <v>1</v>
      </c>
      <c r="D5" s="30" t="n">
        <f aca="false">INT((D4-1)/12)+1</f>
        <v>1</v>
      </c>
      <c r="E5" s="30" t="n">
        <f aca="false">INT((E4-1)/12)+1</f>
        <v>1</v>
      </c>
      <c r="F5" s="30" t="n">
        <f aca="false">INT((F4-1)/12)+1</f>
        <v>1</v>
      </c>
      <c r="G5" s="30" t="n">
        <f aca="false">INT((G4-1)/12)+1</f>
        <v>1</v>
      </c>
      <c r="H5" s="30" t="n">
        <f aca="false">INT((H4-1)/12)+1</f>
        <v>1</v>
      </c>
      <c r="I5" s="30" t="n">
        <f aca="false">INT((I4-1)/12)+1</f>
        <v>1</v>
      </c>
      <c r="J5" s="30" t="n">
        <f aca="false">INT((J4-1)/12)+1</f>
        <v>1</v>
      </c>
      <c r="K5" s="30" t="n">
        <f aca="false">INT((K4-1)/12)+1</f>
        <v>1</v>
      </c>
      <c r="L5" s="30" t="n">
        <f aca="false">INT((L4-1)/12)+1</f>
        <v>1</v>
      </c>
      <c r="M5" s="30" t="n">
        <f aca="false">INT((M4-1)/12)+1</f>
        <v>1</v>
      </c>
      <c r="N5" s="30" t="n">
        <f aca="false">INT((N4-1)/12)+1</f>
        <v>1</v>
      </c>
      <c r="O5" s="30" t="n">
        <f aca="false">INT((O4-1)/12)+1</f>
        <v>2</v>
      </c>
      <c r="P5" s="30" t="n">
        <f aca="false">INT((P4-1)/12)+1</f>
        <v>2</v>
      </c>
      <c r="Q5" s="30" t="n">
        <f aca="false">INT((Q4-1)/12)+1</f>
        <v>2</v>
      </c>
      <c r="R5" s="30" t="n">
        <f aca="false">INT((R4-1)/12)+1</f>
        <v>2</v>
      </c>
      <c r="S5" s="30" t="n">
        <f aca="false">INT((S4-1)/12)+1</f>
        <v>2</v>
      </c>
      <c r="T5" s="30" t="n">
        <f aca="false">INT((T4-1)/12)+1</f>
        <v>2</v>
      </c>
      <c r="U5" s="30" t="n">
        <f aca="false">INT((U4-1)/12)+1</f>
        <v>2</v>
      </c>
      <c r="V5" s="30" t="n">
        <f aca="false">INT((V4-1)/12)+1</f>
        <v>2</v>
      </c>
      <c r="W5" s="30" t="n">
        <f aca="false">INT((W4-1)/12)+1</f>
        <v>2</v>
      </c>
      <c r="X5" s="30" t="n">
        <f aca="false">INT((X4-1)/12)+1</f>
        <v>2</v>
      </c>
      <c r="Y5" s="30" t="n">
        <f aca="false">INT((Y4-1)/12)+1</f>
        <v>2</v>
      </c>
      <c r="Z5" s="30" t="n">
        <f aca="false">INT((Z4-1)/12)+1</f>
        <v>2</v>
      </c>
      <c r="AA5" s="30" t="n">
        <f aca="false">INT((AA4-1)/12)+1</f>
        <v>3</v>
      </c>
      <c r="AB5" s="30" t="n">
        <f aca="false">INT((AB4-1)/12)+1</f>
        <v>3</v>
      </c>
      <c r="AC5" s="30" t="n">
        <f aca="false">INT((AC4-1)/12)+1</f>
        <v>3</v>
      </c>
      <c r="AD5" s="30" t="n">
        <f aca="false">INT((AD4-1)/12)+1</f>
        <v>3</v>
      </c>
      <c r="AE5" s="30" t="n">
        <f aca="false">INT((AE4-1)/12)+1</f>
        <v>3</v>
      </c>
      <c r="AF5" s="30" t="n">
        <f aca="false">INT((AF4-1)/12)+1</f>
        <v>3</v>
      </c>
      <c r="AG5" s="30" t="n">
        <f aca="false">INT((AG4-1)/12)+1</f>
        <v>3</v>
      </c>
      <c r="AH5" s="30" t="n">
        <f aca="false">INT((AH4-1)/12)+1</f>
        <v>3</v>
      </c>
      <c r="AI5" s="30" t="n">
        <f aca="false">INT((AI4-1)/12)+1</f>
        <v>3</v>
      </c>
      <c r="AJ5" s="30" t="n">
        <f aca="false">INT((AJ4-1)/12)+1</f>
        <v>3</v>
      </c>
      <c r="AK5" s="30" t="n">
        <f aca="false">INT((AK4-1)/12)+1</f>
        <v>3</v>
      </c>
      <c r="AL5" s="30" t="n">
        <f aca="false">INT((AL4-1)/12)+1</f>
        <v>3</v>
      </c>
      <c r="AM5" s="30" t="n">
        <f aca="false">INT((AM4-1)/12)+1</f>
        <v>4</v>
      </c>
      <c r="AN5" s="30" t="n">
        <f aca="false">INT((AN4-1)/12)+1</f>
        <v>4</v>
      </c>
      <c r="AO5" s="30" t="n">
        <f aca="false">INT((AO4-1)/12)+1</f>
        <v>4</v>
      </c>
      <c r="AP5" s="30" t="n">
        <f aca="false">INT((AP4-1)/12)+1</f>
        <v>4</v>
      </c>
      <c r="AQ5" s="30" t="n">
        <f aca="false">INT((AQ4-1)/12)+1</f>
        <v>4</v>
      </c>
      <c r="AR5" s="30" t="n">
        <f aca="false">INT((AR4-1)/12)+1</f>
        <v>4</v>
      </c>
      <c r="AS5" s="30" t="n">
        <f aca="false">INT((AS4-1)/12)+1</f>
        <v>4</v>
      </c>
      <c r="AT5" s="30" t="n">
        <f aca="false">INT((AT4-1)/12)+1</f>
        <v>4</v>
      </c>
      <c r="AU5" s="30" t="n">
        <f aca="false">INT((AU4-1)/12)+1</f>
        <v>4</v>
      </c>
      <c r="AV5" s="30" t="n">
        <f aca="false">INT((AV4-1)/12)+1</f>
        <v>4</v>
      </c>
      <c r="AW5" s="30" t="n">
        <f aca="false">INT((AW4-1)/12)+1</f>
        <v>4</v>
      </c>
      <c r="AX5" s="30" t="n">
        <f aca="false">INT((AX4-1)/12)+1</f>
        <v>4</v>
      </c>
      <c r="AY5" s="30" t="n">
        <f aca="false">INT((AY4-1)/12)+1</f>
        <v>5</v>
      </c>
      <c r="AZ5" s="30" t="n">
        <f aca="false">INT((AZ4-1)/12)+1</f>
        <v>5</v>
      </c>
      <c r="BA5" s="30" t="n">
        <f aca="false">INT((BA4-1)/12)+1</f>
        <v>5</v>
      </c>
      <c r="BB5" s="30" t="n">
        <f aca="false">INT((BB4-1)/12)+1</f>
        <v>5</v>
      </c>
      <c r="BC5" s="30" t="n">
        <f aca="false">INT((BC4-1)/12)+1</f>
        <v>5</v>
      </c>
      <c r="BD5" s="30" t="n">
        <f aca="false">INT((BD4-1)/12)+1</f>
        <v>5</v>
      </c>
      <c r="BE5" s="30" t="n">
        <f aca="false">INT((BE4-1)/12)+1</f>
        <v>5</v>
      </c>
      <c r="BF5" s="30" t="n">
        <f aca="false">INT((BF4-1)/12)+1</f>
        <v>5</v>
      </c>
      <c r="BG5" s="30" t="n">
        <f aca="false">INT((BG4-1)/12)+1</f>
        <v>5</v>
      </c>
      <c r="BH5" s="30" t="n">
        <f aca="false">INT((BH4-1)/12)+1</f>
        <v>5</v>
      </c>
      <c r="BI5" s="30" t="n">
        <f aca="false">INT((BI4-1)/12)+1</f>
        <v>5</v>
      </c>
      <c r="BJ5" s="30" t="n">
        <f aca="false">INT((BJ4-1)/12)+1</f>
        <v>5</v>
      </c>
      <c r="BK5" s="28" t="n">
        <v>1</v>
      </c>
      <c r="BL5" s="28" t="n">
        <v>2</v>
      </c>
      <c r="BM5" s="28" t="n">
        <v>3</v>
      </c>
      <c r="BN5" s="28" t="n">
        <v>4</v>
      </c>
      <c r="BO5" s="28" t="n">
        <v>5</v>
      </c>
    </row>
    <row r="6" customFormat="false" ht="15" hidden="false" customHeight="false" outlineLevel="0" collapsed="false">
      <c r="A6" s="5" t="s">
        <v>219</v>
      </c>
      <c r="B6" s="5" t="s">
        <v>74</v>
      </c>
      <c r="C6" s="31" t="n">
        <f aca="false">EDATE(Assumptions!$C$7,C4-1)</f>
        <v>46388</v>
      </c>
      <c r="D6" s="31" t="n">
        <f aca="false">EDATE(Assumptions!$C$7,D4-1)</f>
        <v>46419</v>
      </c>
      <c r="E6" s="31" t="n">
        <f aca="false">EDATE(Assumptions!$C$7,E4-1)</f>
        <v>46447</v>
      </c>
      <c r="F6" s="31" t="n">
        <f aca="false">EDATE(Assumptions!$C$7,F4-1)</f>
        <v>46478</v>
      </c>
      <c r="G6" s="31" t="n">
        <f aca="false">EDATE(Assumptions!$C$7,G4-1)</f>
        <v>46508</v>
      </c>
      <c r="H6" s="31" t="n">
        <f aca="false">EDATE(Assumptions!$C$7,H4-1)</f>
        <v>46539</v>
      </c>
      <c r="I6" s="31" t="n">
        <f aca="false">EDATE(Assumptions!$C$7,I4-1)</f>
        <v>46569</v>
      </c>
      <c r="J6" s="31" t="n">
        <f aca="false">EDATE(Assumptions!$C$7,J4-1)</f>
        <v>46600</v>
      </c>
      <c r="K6" s="31" t="n">
        <f aca="false">EDATE(Assumptions!$C$7,K4-1)</f>
        <v>46631</v>
      </c>
      <c r="L6" s="31" t="n">
        <f aca="false">EDATE(Assumptions!$C$7,L4-1)</f>
        <v>46661</v>
      </c>
      <c r="M6" s="31" t="n">
        <f aca="false">EDATE(Assumptions!$C$7,M4-1)</f>
        <v>46692</v>
      </c>
      <c r="N6" s="31" t="n">
        <f aca="false">EDATE(Assumptions!$C$7,N4-1)</f>
        <v>46722</v>
      </c>
      <c r="O6" s="31" t="n">
        <f aca="false">EDATE(Assumptions!$C$7,O4-1)</f>
        <v>46753</v>
      </c>
      <c r="P6" s="31" t="n">
        <f aca="false">EDATE(Assumptions!$C$7,P4-1)</f>
        <v>46784</v>
      </c>
      <c r="Q6" s="31" t="n">
        <f aca="false">EDATE(Assumptions!$C$7,Q4-1)</f>
        <v>46813</v>
      </c>
      <c r="R6" s="31" t="n">
        <f aca="false">EDATE(Assumptions!$C$7,R4-1)</f>
        <v>46844</v>
      </c>
      <c r="S6" s="31" t="n">
        <f aca="false">EDATE(Assumptions!$C$7,S4-1)</f>
        <v>46874</v>
      </c>
      <c r="T6" s="31" t="n">
        <f aca="false">EDATE(Assumptions!$C$7,T4-1)</f>
        <v>46905</v>
      </c>
      <c r="U6" s="31" t="n">
        <f aca="false">EDATE(Assumptions!$C$7,U4-1)</f>
        <v>46935</v>
      </c>
      <c r="V6" s="31" t="n">
        <f aca="false">EDATE(Assumptions!$C$7,V4-1)</f>
        <v>46966</v>
      </c>
      <c r="W6" s="31" t="n">
        <f aca="false">EDATE(Assumptions!$C$7,W4-1)</f>
        <v>46997</v>
      </c>
      <c r="X6" s="31" t="n">
        <f aca="false">EDATE(Assumptions!$C$7,X4-1)</f>
        <v>47027</v>
      </c>
      <c r="Y6" s="31" t="n">
        <f aca="false">EDATE(Assumptions!$C$7,Y4-1)</f>
        <v>47058</v>
      </c>
      <c r="Z6" s="31" t="n">
        <f aca="false">EDATE(Assumptions!$C$7,Z4-1)</f>
        <v>47088</v>
      </c>
      <c r="AA6" s="31" t="n">
        <f aca="false">EDATE(Assumptions!$C$7,AA4-1)</f>
        <v>47119</v>
      </c>
      <c r="AB6" s="31" t="n">
        <f aca="false">EDATE(Assumptions!$C$7,AB4-1)</f>
        <v>47150</v>
      </c>
      <c r="AC6" s="31" t="n">
        <f aca="false">EDATE(Assumptions!$C$7,AC4-1)</f>
        <v>47178</v>
      </c>
      <c r="AD6" s="31" t="n">
        <f aca="false">EDATE(Assumptions!$C$7,AD4-1)</f>
        <v>47209</v>
      </c>
      <c r="AE6" s="31" t="n">
        <f aca="false">EDATE(Assumptions!$C$7,AE4-1)</f>
        <v>47239</v>
      </c>
      <c r="AF6" s="31" t="n">
        <f aca="false">EDATE(Assumptions!$C$7,AF4-1)</f>
        <v>47270</v>
      </c>
      <c r="AG6" s="31" t="n">
        <f aca="false">EDATE(Assumptions!$C$7,AG4-1)</f>
        <v>47300</v>
      </c>
      <c r="AH6" s="31" t="n">
        <f aca="false">EDATE(Assumptions!$C$7,AH4-1)</f>
        <v>47331</v>
      </c>
      <c r="AI6" s="31" t="n">
        <f aca="false">EDATE(Assumptions!$C$7,AI4-1)</f>
        <v>47362</v>
      </c>
      <c r="AJ6" s="31" t="n">
        <f aca="false">EDATE(Assumptions!$C$7,AJ4-1)</f>
        <v>47392</v>
      </c>
      <c r="AK6" s="31" t="n">
        <f aca="false">EDATE(Assumptions!$C$7,AK4-1)</f>
        <v>47423</v>
      </c>
      <c r="AL6" s="31" t="n">
        <f aca="false">EDATE(Assumptions!$C$7,AL4-1)</f>
        <v>47453</v>
      </c>
      <c r="AM6" s="31" t="n">
        <f aca="false">EDATE(Assumptions!$C$7,AM4-1)</f>
        <v>47484</v>
      </c>
      <c r="AN6" s="31" t="n">
        <f aca="false">EDATE(Assumptions!$C$7,AN4-1)</f>
        <v>47515</v>
      </c>
      <c r="AO6" s="31" t="n">
        <f aca="false">EDATE(Assumptions!$C$7,AO4-1)</f>
        <v>47543</v>
      </c>
      <c r="AP6" s="31" t="n">
        <f aca="false">EDATE(Assumptions!$C$7,AP4-1)</f>
        <v>47574</v>
      </c>
      <c r="AQ6" s="31" t="n">
        <f aca="false">EDATE(Assumptions!$C$7,AQ4-1)</f>
        <v>47604</v>
      </c>
      <c r="AR6" s="31" t="n">
        <f aca="false">EDATE(Assumptions!$C$7,AR4-1)</f>
        <v>47635</v>
      </c>
      <c r="AS6" s="31" t="n">
        <f aca="false">EDATE(Assumptions!$C$7,AS4-1)</f>
        <v>47665</v>
      </c>
      <c r="AT6" s="31" t="n">
        <f aca="false">EDATE(Assumptions!$C$7,AT4-1)</f>
        <v>47696</v>
      </c>
      <c r="AU6" s="31" t="n">
        <f aca="false">EDATE(Assumptions!$C$7,AU4-1)</f>
        <v>47727</v>
      </c>
      <c r="AV6" s="31" t="n">
        <f aca="false">EDATE(Assumptions!$C$7,AV4-1)</f>
        <v>47757</v>
      </c>
      <c r="AW6" s="31" t="n">
        <f aca="false">EDATE(Assumptions!$C$7,AW4-1)</f>
        <v>47788</v>
      </c>
      <c r="AX6" s="31" t="n">
        <f aca="false">EDATE(Assumptions!$C$7,AX4-1)</f>
        <v>47818</v>
      </c>
      <c r="AY6" s="31" t="n">
        <f aca="false">EDATE(Assumptions!$C$7,AY4-1)</f>
        <v>47849</v>
      </c>
      <c r="AZ6" s="31" t="n">
        <f aca="false">EDATE(Assumptions!$C$7,AZ4-1)</f>
        <v>47880</v>
      </c>
      <c r="BA6" s="31" t="n">
        <f aca="false">EDATE(Assumptions!$C$7,BA4-1)</f>
        <v>47908</v>
      </c>
      <c r="BB6" s="31" t="n">
        <f aca="false">EDATE(Assumptions!$C$7,BB4-1)</f>
        <v>47939</v>
      </c>
      <c r="BC6" s="31" t="n">
        <f aca="false">EDATE(Assumptions!$C$7,BC4-1)</f>
        <v>47969</v>
      </c>
      <c r="BD6" s="31" t="n">
        <f aca="false">EDATE(Assumptions!$C$7,BD4-1)</f>
        <v>48000</v>
      </c>
      <c r="BE6" s="31" t="n">
        <f aca="false">EDATE(Assumptions!$C$7,BE4-1)</f>
        <v>48030</v>
      </c>
      <c r="BF6" s="31" t="n">
        <f aca="false">EDATE(Assumptions!$C$7,BF4-1)</f>
        <v>48061</v>
      </c>
      <c r="BG6" s="31" t="n">
        <f aca="false">EDATE(Assumptions!$C$7,BG4-1)</f>
        <v>48092</v>
      </c>
      <c r="BH6" s="31" t="n">
        <f aca="false">EDATE(Assumptions!$C$7,BH4-1)</f>
        <v>48122</v>
      </c>
      <c r="BI6" s="31" t="n">
        <f aca="false">EDATE(Assumptions!$C$7,BI4-1)</f>
        <v>48153</v>
      </c>
      <c r="BJ6" s="31" t="n">
        <f aca="false">EDATE(Assumptions!$C$7,BJ4-1)</f>
        <v>48183</v>
      </c>
      <c r="BK6" s="32" t="s">
        <v>54</v>
      </c>
      <c r="BL6" s="32" t="s">
        <v>55</v>
      </c>
      <c r="BM6" s="32" t="s">
        <v>56</v>
      </c>
      <c r="BN6" s="32" t="s">
        <v>220</v>
      </c>
      <c r="BO6" s="32" t="s">
        <v>221</v>
      </c>
    </row>
    <row r="7" customFormat="false" ht="15" hidden="false" customHeight="false" outlineLevel="0" collapsed="false">
      <c r="A7" s="33" t="s">
        <v>222</v>
      </c>
      <c r="B7" s="34"/>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row>
    <row r="8" customFormat="false" ht="15" hidden="false" customHeight="false" outlineLevel="0" collapsed="false">
      <c r="A8" s="18" t="s">
        <v>223</v>
      </c>
      <c r="B8" s="2"/>
      <c r="C8" s="24" t="n">
        <f aca="false">IF(C4&lt;=6,INDEX(Assumptions!$C$20:$C$25,C4),1)</f>
        <v>0.5</v>
      </c>
      <c r="D8" s="24" t="n">
        <f aca="false">IF(D4&lt;=6,INDEX(Assumptions!$C$20:$C$25,D4),1)</f>
        <v>0.6</v>
      </c>
      <c r="E8" s="24" t="n">
        <f aca="false">IF(E4&lt;=6,INDEX(Assumptions!$C$20:$C$25,E4),1)</f>
        <v>0.7</v>
      </c>
      <c r="F8" s="24" t="n">
        <f aca="false">IF(F4&lt;=6,INDEX(Assumptions!$C$20:$C$25,F4),1)</f>
        <v>0.8</v>
      </c>
      <c r="G8" s="24" t="n">
        <f aca="false">IF(G4&lt;=6,INDEX(Assumptions!$C$20:$C$25,G4),1)</f>
        <v>0.9</v>
      </c>
      <c r="H8" s="24" t="n">
        <f aca="false">IF(H4&lt;=6,INDEX(Assumptions!$C$20:$C$25,H4),1)</f>
        <v>1</v>
      </c>
      <c r="I8" s="24" t="n">
        <f aca="false">IF(I4&lt;=6,INDEX(Assumptions!$C$20:$C$25,I4),1)</f>
        <v>1</v>
      </c>
      <c r="J8" s="24" t="n">
        <f aca="false">IF(J4&lt;=6,INDEX(Assumptions!$C$20:$C$25,J4),1)</f>
        <v>1</v>
      </c>
      <c r="K8" s="24" t="n">
        <f aca="false">IF(K4&lt;=6,INDEX(Assumptions!$C$20:$C$25,K4),1)</f>
        <v>1</v>
      </c>
      <c r="L8" s="24" t="n">
        <f aca="false">IF(L4&lt;=6,INDEX(Assumptions!$C$20:$C$25,L4),1)</f>
        <v>1</v>
      </c>
      <c r="M8" s="24" t="n">
        <f aca="false">IF(M4&lt;=6,INDEX(Assumptions!$C$20:$C$25,M4),1)</f>
        <v>1</v>
      </c>
      <c r="N8" s="24" t="n">
        <f aca="false">IF(N4&lt;=6,INDEX(Assumptions!$C$20:$C$25,N4),1)</f>
        <v>1</v>
      </c>
      <c r="O8" s="24" t="n">
        <f aca="false">IF(O4&lt;=6,INDEX(Assumptions!$C$20:$C$25,O4),1)</f>
        <v>1</v>
      </c>
      <c r="P8" s="24" t="n">
        <f aca="false">IF(P4&lt;=6,INDEX(Assumptions!$C$20:$C$25,P4),1)</f>
        <v>1</v>
      </c>
      <c r="Q8" s="24" t="n">
        <f aca="false">IF(Q4&lt;=6,INDEX(Assumptions!$C$20:$C$25,Q4),1)</f>
        <v>1</v>
      </c>
      <c r="R8" s="24" t="n">
        <f aca="false">IF(R4&lt;=6,INDEX(Assumptions!$C$20:$C$25,R4),1)</f>
        <v>1</v>
      </c>
      <c r="S8" s="24" t="n">
        <f aca="false">IF(S4&lt;=6,INDEX(Assumptions!$C$20:$C$25,S4),1)</f>
        <v>1</v>
      </c>
      <c r="T8" s="24" t="n">
        <f aca="false">IF(T4&lt;=6,INDEX(Assumptions!$C$20:$C$25,T4),1)</f>
        <v>1</v>
      </c>
      <c r="U8" s="24" t="n">
        <f aca="false">IF(U4&lt;=6,INDEX(Assumptions!$C$20:$C$25,U4),1)</f>
        <v>1</v>
      </c>
      <c r="V8" s="24" t="n">
        <f aca="false">IF(V4&lt;=6,INDEX(Assumptions!$C$20:$C$25,V4),1)</f>
        <v>1</v>
      </c>
      <c r="W8" s="24" t="n">
        <f aca="false">IF(W4&lt;=6,INDEX(Assumptions!$C$20:$C$25,W4),1)</f>
        <v>1</v>
      </c>
      <c r="X8" s="24" t="n">
        <f aca="false">IF(X4&lt;=6,INDEX(Assumptions!$C$20:$C$25,X4),1)</f>
        <v>1</v>
      </c>
      <c r="Y8" s="24" t="n">
        <f aca="false">IF(Y4&lt;=6,INDEX(Assumptions!$C$20:$C$25,Y4),1)</f>
        <v>1</v>
      </c>
      <c r="Z8" s="24" t="n">
        <f aca="false">IF(Z4&lt;=6,INDEX(Assumptions!$C$20:$C$25,Z4),1)</f>
        <v>1</v>
      </c>
      <c r="AA8" s="24" t="n">
        <f aca="false">IF(AA4&lt;=6,INDEX(Assumptions!$C$20:$C$25,AA4),1)</f>
        <v>1</v>
      </c>
      <c r="AB8" s="24" t="n">
        <f aca="false">IF(AB4&lt;=6,INDEX(Assumptions!$C$20:$C$25,AB4),1)</f>
        <v>1</v>
      </c>
      <c r="AC8" s="24" t="n">
        <f aca="false">IF(AC4&lt;=6,INDEX(Assumptions!$C$20:$C$25,AC4),1)</f>
        <v>1</v>
      </c>
      <c r="AD8" s="24" t="n">
        <f aca="false">IF(AD4&lt;=6,INDEX(Assumptions!$C$20:$C$25,AD4),1)</f>
        <v>1</v>
      </c>
      <c r="AE8" s="24" t="n">
        <f aca="false">IF(AE4&lt;=6,INDEX(Assumptions!$C$20:$C$25,AE4),1)</f>
        <v>1</v>
      </c>
      <c r="AF8" s="24" t="n">
        <f aca="false">IF(AF4&lt;=6,INDEX(Assumptions!$C$20:$C$25,AF4),1)</f>
        <v>1</v>
      </c>
      <c r="AG8" s="24" t="n">
        <f aca="false">IF(AG4&lt;=6,INDEX(Assumptions!$C$20:$C$25,AG4),1)</f>
        <v>1</v>
      </c>
      <c r="AH8" s="24" t="n">
        <f aca="false">IF(AH4&lt;=6,INDEX(Assumptions!$C$20:$C$25,AH4),1)</f>
        <v>1</v>
      </c>
      <c r="AI8" s="24" t="n">
        <f aca="false">IF(AI4&lt;=6,INDEX(Assumptions!$C$20:$C$25,AI4),1)</f>
        <v>1</v>
      </c>
      <c r="AJ8" s="24" t="n">
        <f aca="false">IF(AJ4&lt;=6,INDEX(Assumptions!$C$20:$C$25,AJ4),1)</f>
        <v>1</v>
      </c>
      <c r="AK8" s="24" t="n">
        <f aca="false">IF(AK4&lt;=6,INDEX(Assumptions!$C$20:$C$25,AK4),1)</f>
        <v>1</v>
      </c>
      <c r="AL8" s="24" t="n">
        <f aca="false">IF(AL4&lt;=6,INDEX(Assumptions!$C$20:$C$25,AL4),1)</f>
        <v>1</v>
      </c>
      <c r="AM8" s="24" t="n">
        <f aca="false">IF(AM4&lt;=6,INDEX(Assumptions!$C$20:$C$25,AM4),1)</f>
        <v>1</v>
      </c>
      <c r="AN8" s="24" t="n">
        <f aca="false">IF(AN4&lt;=6,INDEX(Assumptions!$C$20:$C$25,AN4),1)</f>
        <v>1</v>
      </c>
      <c r="AO8" s="24" t="n">
        <f aca="false">IF(AO4&lt;=6,INDEX(Assumptions!$C$20:$C$25,AO4),1)</f>
        <v>1</v>
      </c>
      <c r="AP8" s="24" t="n">
        <f aca="false">IF(AP4&lt;=6,INDEX(Assumptions!$C$20:$C$25,AP4),1)</f>
        <v>1</v>
      </c>
      <c r="AQ8" s="24" t="n">
        <f aca="false">IF(AQ4&lt;=6,INDEX(Assumptions!$C$20:$C$25,AQ4),1)</f>
        <v>1</v>
      </c>
      <c r="AR8" s="24" t="n">
        <f aca="false">IF(AR4&lt;=6,INDEX(Assumptions!$C$20:$C$25,AR4),1)</f>
        <v>1</v>
      </c>
      <c r="AS8" s="24" t="n">
        <f aca="false">IF(AS4&lt;=6,INDEX(Assumptions!$C$20:$C$25,AS4),1)</f>
        <v>1</v>
      </c>
      <c r="AT8" s="24" t="n">
        <f aca="false">IF(AT4&lt;=6,INDEX(Assumptions!$C$20:$C$25,AT4),1)</f>
        <v>1</v>
      </c>
      <c r="AU8" s="24" t="n">
        <f aca="false">IF(AU4&lt;=6,INDEX(Assumptions!$C$20:$C$25,AU4),1)</f>
        <v>1</v>
      </c>
      <c r="AV8" s="24" t="n">
        <f aca="false">IF(AV4&lt;=6,INDEX(Assumptions!$C$20:$C$25,AV4),1)</f>
        <v>1</v>
      </c>
      <c r="AW8" s="24" t="n">
        <f aca="false">IF(AW4&lt;=6,INDEX(Assumptions!$C$20:$C$25,AW4),1)</f>
        <v>1</v>
      </c>
      <c r="AX8" s="24" t="n">
        <f aca="false">IF(AX4&lt;=6,INDEX(Assumptions!$C$20:$C$25,AX4),1)</f>
        <v>1</v>
      </c>
      <c r="AY8" s="24" t="n">
        <f aca="false">IF(AY4&lt;=6,INDEX(Assumptions!$C$20:$C$25,AY4),1)</f>
        <v>1</v>
      </c>
      <c r="AZ8" s="24" t="n">
        <f aca="false">IF(AZ4&lt;=6,INDEX(Assumptions!$C$20:$C$25,AZ4),1)</f>
        <v>1</v>
      </c>
      <c r="BA8" s="24" t="n">
        <f aca="false">IF(BA4&lt;=6,INDEX(Assumptions!$C$20:$C$25,BA4),1)</f>
        <v>1</v>
      </c>
      <c r="BB8" s="24" t="n">
        <f aca="false">IF(BB4&lt;=6,INDEX(Assumptions!$C$20:$C$25,BB4),1)</f>
        <v>1</v>
      </c>
      <c r="BC8" s="24" t="n">
        <f aca="false">IF(BC4&lt;=6,INDEX(Assumptions!$C$20:$C$25,BC4),1)</f>
        <v>1</v>
      </c>
      <c r="BD8" s="24" t="n">
        <f aca="false">IF(BD4&lt;=6,INDEX(Assumptions!$C$20:$C$25,BD4),1)</f>
        <v>1</v>
      </c>
      <c r="BE8" s="24" t="n">
        <f aca="false">IF(BE4&lt;=6,INDEX(Assumptions!$C$20:$C$25,BE4),1)</f>
        <v>1</v>
      </c>
      <c r="BF8" s="24" t="n">
        <f aca="false">IF(BF4&lt;=6,INDEX(Assumptions!$C$20:$C$25,BF4),1)</f>
        <v>1</v>
      </c>
      <c r="BG8" s="24" t="n">
        <f aca="false">IF(BG4&lt;=6,INDEX(Assumptions!$C$20:$C$25,BG4),1)</f>
        <v>1</v>
      </c>
      <c r="BH8" s="24" t="n">
        <f aca="false">IF(BH4&lt;=6,INDEX(Assumptions!$C$20:$C$25,BH4),1)</f>
        <v>1</v>
      </c>
      <c r="BI8" s="24" t="n">
        <f aca="false">IF(BI4&lt;=6,INDEX(Assumptions!$C$20:$C$25,BI4),1)</f>
        <v>1</v>
      </c>
      <c r="BJ8" s="24" t="n">
        <f aca="false">IF(BJ4&lt;=6,INDEX(Assumptions!$C$20:$C$25,BJ4),1)</f>
        <v>1</v>
      </c>
    </row>
    <row r="9" customFormat="false" ht="15" hidden="false" customHeight="false" outlineLevel="0" collapsed="false">
      <c r="A9" s="18" t="s">
        <v>224</v>
      </c>
      <c r="B9" s="2"/>
      <c r="C9" s="24" t="n">
        <f aca="false">INDEX(Assumptions!$C$29:$C$40,MONTH(C6))</f>
        <v>0.9</v>
      </c>
      <c r="D9" s="24" t="n">
        <f aca="false">INDEX(Assumptions!$C$29:$C$40,MONTH(D6))</f>
        <v>0.9</v>
      </c>
      <c r="E9" s="24" t="n">
        <f aca="false">INDEX(Assumptions!$C$29:$C$40,MONTH(E6))</f>
        <v>1</v>
      </c>
      <c r="F9" s="24" t="n">
        <f aca="false">INDEX(Assumptions!$C$29:$C$40,MONTH(F6))</f>
        <v>1.05</v>
      </c>
      <c r="G9" s="24" t="n">
        <f aca="false">INDEX(Assumptions!$C$29:$C$40,MONTH(G6))</f>
        <v>1.1</v>
      </c>
      <c r="H9" s="24" t="n">
        <f aca="false">INDEX(Assumptions!$C$29:$C$40,MONTH(H6))</f>
        <v>1.1</v>
      </c>
      <c r="I9" s="24" t="n">
        <f aca="false">INDEX(Assumptions!$C$29:$C$40,MONTH(I6))</f>
        <v>1.05</v>
      </c>
      <c r="J9" s="24" t="n">
        <f aca="false">INDEX(Assumptions!$C$29:$C$40,MONTH(J6))</f>
        <v>1</v>
      </c>
      <c r="K9" s="24" t="n">
        <f aca="false">INDEX(Assumptions!$C$29:$C$40,MONTH(K6))</f>
        <v>1</v>
      </c>
      <c r="L9" s="24" t="n">
        <f aca="false">INDEX(Assumptions!$C$29:$C$40,MONTH(L6))</f>
        <v>1</v>
      </c>
      <c r="M9" s="24" t="n">
        <f aca="false">INDEX(Assumptions!$C$29:$C$40,MONTH(M6))</f>
        <v>0.95</v>
      </c>
      <c r="N9" s="24" t="n">
        <f aca="false">INDEX(Assumptions!$C$29:$C$40,MONTH(N6))</f>
        <v>0.95</v>
      </c>
      <c r="O9" s="24" t="n">
        <f aca="false">INDEX(Assumptions!$C$29:$C$40,MONTH(O6))</f>
        <v>0.9</v>
      </c>
      <c r="P9" s="24" t="n">
        <f aca="false">INDEX(Assumptions!$C$29:$C$40,MONTH(P6))</f>
        <v>0.9</v>
      </c>
      <c r="Q9" s="24" t="n">
        <f aca="false">INDEX(Assumptions!$C$29:$C$40,MONTH(Q6))</f>
        <v>1</v>
      </c>
      <c r="R9" s="24" t="n">
        <f aca="false">INDEX(Assumptions!$C$29:$C$40,MONTH(R6))</f>
        <v>1.05</v>
      </c>
      <c r="S9" s="24" t="n">
        <f aca="false">INDEX(Assumptions!$C$29:$C$40,MONTH(S6))</f>
        <v>1.1</v>
      </c>
      <c r="T9" s="24" t="n">
        <f aca="false">INDEX(Assumptions!$C$29:$C$40,MONTH(T6))</f>
        <v>1.1</v>
      </c>
      <c r="U9" s="24" t="n">
        <f aca="false">INDEX(Assumptions!$C$29:$C$40,MONTH(U6))</f>
        <v>1.05</v>
      </c>
      <c r="V9" s="24" t="n">
        <f aca="false">INDEX(Assumptions!$C$29:$C$40,MONTH(V6))</f>
        <v>1</v>
      </c>
      <c r="W9" s="24" t="n">
        <f aca="false">INDEX(Assumptions!$C$29:$C$40,MONTH(W6))</f>
        <v>1</v>
      </c>
      <c r="X9" s="24" t="n">
        <f aca="false">INDEX(Assumptions!$C$29:$C$40,MONTH(X6))</f>
        <v>1</v>
      </c>
      <c r="Y9" s="24" t="n">
        <f aca="false">INDEX(Assumptions!$C$29:$C$40,MONTH(Y6))</f>
        <v>0.95</v>
      </c>
      <c r="Z9" s="24" t="n">
        <f aca="false">INDEX(Assumptions!$C$29:$C$40,MONTH(Z6))</f>
        <v>0.95</v>
      </c>
      <c r="AA9" s="24" t="n">
        <f aca="false">INDEX(Assumptions!$C$29:$C$40,MONTH(AA6))</f>
        <v>0.9</v>
      </c>
      <c r="AB9" s="24" t="n">
        <f aca="false">INDEX(Assumptions!$C$29:$C$40,MONTH(AB6))</f>
        <v>0.9</v>
      </c>
      <c r="AC9" s="24" t="n">
        <f aca="false">INDEX(Assumptions!$C$29:$C$40,MONTH(AC6))</f>
        <v>1</v>
      </c>
      <c r="AD9" s="24" t="n">
        <f aca="false">INDEX(Assumptions!$C$29:$C$40,MONTH(AD6))</f>
        <v>1.05</v>
      </c>
      <c r="AE9" s="24" t="n">
        <f aca="false">INDEX(Assumptions!$C$29:$C$40,MONTH(AE6))</f>
        <v>1.1</v>
      </c>
      <c r="AF9" s="24" t="n">
        <f aca="false">INDEX(Assumptions!$C$29:$C$40,MONTH(AF6))</f>
        <v>1.1</v>
      </c>
      <c r="AG9" s="24" t="n">
        <f aca="false">INDEX(Assumptions!$C$29:$C$40,MONTH(AG6))</f>
        <v>1.05</v>
      </c>
      <c r="AH9" s="24" t="n">
        <f aca="false">INDEX(Assumptions!$C$29:$C$40,MONTH(AH6))</f>
        <v>1</v>
      </c>
      <c r="AI9" s="24" t="n">
        <f aca="false">INDEX(Assumptions!$C$29:$C$40,MONTH(AI6))</f>
        <v>1</v>
      </c>
      <c r="AJ9" s="24" t="n">
        <f aca="false">INDEX(Assumptions!$C$29:$C$40,MONTH(AJ6))</f>
        <v>1</v>
      </c>
      <c r="AK9" s="24" t="n">
        <f aca="false">INDEX(Assumptions!$C$29:$C$40,MONTH(AK6))</f>
        <v>0.95</v>
      </c>
      <c r="AL9" s="24" t="n">
        <f aca="false">INDEX(Assumptions!$C$29:$C$40,MONTH(AL6))</f>
        <v>0.95</v>
      </c>
      <c r="AM9" s="24" t="n">
        <f aca="false">INDEX(Assumptions!$C$29:$C$40,MONTH(AM6))</f>
        <v>0.9</v>
      </c>
      <c r="AN9" s="24" t="n">
        <f aca="false">INDEX(Assumptions!$C$29:$C$40,MONTH(AN6))</f>
        <v>0.9</v>
      </c>
      <c r="AO9" s="24" t="n">
        <f aca="false">INDEX(Assumptions!$C$29:$C$40,MONTH(AO6))</f>
        <v>1</v>
      </c>
      <c r="AP9" s="24" t="n">
        <f aca="false">INDEX(Assumptions!$C$29:$C$40,MONTH(AP6))</f>
        <v>1.05</v>
      </c>
      <c r="AQ9" s="24" t="n">
        <f aca="false">INDEX(Assumptions!$C$29:$C$40,MONTH(AQ6))</f>
        <v>1.1</v>
      </c>
      <c r="AR9" s="24" t="n">
        <f aca="false">INDEX(Assumptions!$C$29:$C$40,MONTH(AR6))</f>
        <v>1.1</v>
      </c>
      <c r="AS9" s="24" t="n">
        <f aca="false">INDEX(Assumptions!$C$29:$C$40,MONTH(AS6))</f>
        <v>1.05</v>
      </c>
      <c r="AT9" s="24" t="n">
        <f aca="false">INDEX(Assumptions!$C$29:$C$40,MONTH(AT6))</f>
        <v>1</v>
      </c>
      <c r="AU9" s="24" t="n">
        <f aca="false">INDEX(Assumptions!$C$29:$C$40,MONTH(AU6))</f>
        <v>1</v>
      </c>
      <c r="AV9" s="24" t="n">
        <f aca="false">INDEX(Assumptions!$C$29:$C$40,MONTH(AV6))</f>
        <v>1</v>
      </c>
      <c r="AW9" s="24" t="n">
        <f aca="false">INDEX(Assumptions!$C$29:$C$40,MONTH(AW6))</f>
        <v>0.95</v>
      </c>
      <c r="AX9" s="24" t="n">
        <f aca="false">INDEX(Assumptions!$C$29:$C$40,MONTH(AX6))</f>
        <v>0.95</v>
      </c>
      <c r="AY9" s="24" t="n">
        <f aca="false">INDEX(Assumptions!$C$29:$C$40,MONTH(AY6))</f>
        <v>0.9</v>
      </c>
      <c r="AZ9" s="24" t="n">
        <f aca="false">INDEX(Assumptions!$C$29:$C$40,MONTH(AZ6))</f>
        <v>0.9</v>
      </c>
      <c r="BA9" s="24" t="n">
        <f aca="false">INDEX(Assumptions!$C$29:$C$40,MONTH(BA6))</f>
        <v>1</v>
      </c>
      <c r="BB9" s="24" t="n">
        <f aca="false">INDEX(Assumptions!$C$29:$C$40,MONTH(BB6))</f>
        <v>1.05</v>
      </c>
      <c r="BC9" s="24" t="n">
        <f aca="false">INDEX(Assumptions!$C$29:$C$40,MONTH(BC6))</f>
        <v>1.1</v>
      </c>
      <c r="BD9" s="24" t="n">
        <f aca="false">INDEX(Assumptions!$C$29:$C$40,MONTH(BD6))</f>
        <v>1.1</v>
      </c>
      <c r="BE9" s="24" t="n">
        <f aca="false">INDEX(Assumptions!$C$29:$C$40,MONTH(BE6))</f>
        <v>1.05</v>
      </c>
      <c r="BF9" s="24" t="n">
        <f aca="false">INDEX(Assumptions!$C$29:$C$40,MONTH(BF6))</f>
        <v>1</v>
      </c>
      <c r="BG9" s="24" t="n">
        <f aca="false">INDEX(Assumptions!$C$29:$C$40,MONTH(BG6))</f>
        <v>1</v>
      </c>
      <c r="BH9" s="24" t="n">
        <f aca="false">INDEX(Assumptions!$C$29:$C$40,MONTH(BH6))</f>
        <v>1</v>
      </c>
      <c r="BI9" s="24" t="n">
        <f aca="false">INDEX(Assumptions!$C$29:$C$40,MONTH(BI6))</f>
        <v>0.95</v>
      </c>
      <c r="BJ9" s="24" t="n">
        <f aca="false">INDEX(Assumptions!$C$29:$C$40,MONTH(BJ6))</f>
        <v>0.95</v>
      </c>
    </row>
    <row r="11" customFormat="false" ht="15" hidden="false" customHeight="false" outlineLevel="0" collapsed="false">
      <c r="A11" s="33" t="str">
        <f aca="false">"Line 1: "&amp;Assumptions!$B$13</f>
        <v>Line 1: Service line A — projects (example)</v>
      </c>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row>
    <row r="12" customFormat="false" ht="15" hidden="false" customHeight="false" outlineLevel="0" collapsed="false">
      <c r="A12" s="18" t="s">
        <v>225</v>
      </c>
      <c r="B12" s="2" t="s">
        <v>226</v>
      </c>
      <c r="C12" s="35" t="n">
        <f aca="false">Assumptions!$C$13*C8*C9*(1+Assumptions!$E$13)^(C5-1)</f>
        <v>40.5</v>
      </c>
      <c r="D12" s="35" t="n">
        <f aca="false">Assumptions!$C$13*D8*D9*(1+Assumptions!$E$13)^(D5-1)</f>
        <v>48.6</v>
      </c>
      <c r="E12" s="35" t="n">
        <f aca="false">Assumptions!$C$13*E8*E9*(1+Assumptions!$E$13)^(E5-1)</f>
        <v>63</v>
      </c>
      <c r="F12" s="35" t="n">
        <f aca="false">Assumptions!$C$13*F8*F9*(1+Assumptions!$E$13)^(F5-1)</f>
        <v>75.6</v>
      </c>
      <c r="G12" s="35" t="n">
        <f aca="false">Assumptions!$C$13*G8*G9*(1+Assumptions!$E$13)^(G5-1)</f>
        <v>89.1</v>
      </c>
      <c r="H12" s="35" t="n">
        <f aca="false">Assumptions!$C$13*H8*H9*(1+Assumptions!$E$13)^(H5-1)</f>
        <v>99</v>
      </c>
      <c r="I12" s="35" t="n">
        <f aca="false">Assumptions!$C$13*I8*I9*(1+Assumptions!$E$13)^(I5-1)</f>
        <v>94.5</v>
      </c>
      <c r="J12" s="35" t="n">
        <f aca="false">Assumptions!$C$13*J8*J9*(1+Assumptions!$E$13)^(J5-1)</f>
        <v>90</v>
      </c>
      <c r="K12" s="35" t="n">
        <f aca="false">Assumptions!$C$13*K8*K9*(1+Assumptions!$E$13)^(K5-1)</f>
        <v>90</v>
      </c>
      <c r="L12" s="35" t="n">
        <f aca="false">Assumptions!$C$13*L8*L9*(1+Assumptions!$E$13)^(L5-1)</f>
        <v>90</v>
      </c>
      <c r="M12" s="35" t="n">
        <f aca="false">Assumptions!$C$13*M8*M9*(1+Assumptions!$E$13)^(M5-1)</f>
        <v>85.5</v>
      </c>
      <c r="N12" s="35" t="n">
        <f aca="false">Assumptions!$C$13*N8*N9*(1+Assumptions!$E$13)^(N5-1)</f>
        <v>85.5</v>
      </c>
      <c r="O12" s="35" t="n">
        <f aca="false">Assumptions!$C$13*O8*O9*(1+Assumptions!$E$13)^(O5-1)</f>
        <v>85.86</v>
      </c>
      <c r="P12" s="35" t="n">
        <f aca="false">Assumptions!$C$13*P8*P9*(1+Assumptions!$E$13)^(P5-1)</f>
        <v>85.86</v>
      </c>
      <c r="Q12" s="35" t="n">
        <f aca="false">Assumptions!$C$13*Q8*Q9*(1+Assumptions!$E$13)^(Q5-1)</f>
        <v>95.4</v>
      </c>
      <c r="R12" s="35" t="n">
        <f aca="false">Assumptions!$C$13*R8*R9*(1+Assumptions!$E$13)^(R5-1)</f>
        <v>100.17</v>
      </c>
      <c r="S12" s="35" t="n">
        <f aca="false">Assumptions!$C$13*S8*S9*(1+Assumptions!$E$13)^(S5-1)</f>
        <v>104.94</v>
      </c>
      <c r="T12" s="35" t="n">
        <f aca="false">Assumptions!$C$13*T8*T9*(1+Assumptions!$E$13)^(T5-1)</f>
        <v>104.94</v>
      </c>
      <c r="U12" s="35" t="n">
        <f aca="false">Assumptions!$C$13*U8*U9*(1+Assumptions!$E$13)^(U5-1)</f>
        <v>100.17</v>
      </c>
      <c r="V12" s="35" t="n">
        <f aca="false">Assumptions!$C$13*V8*V9*(1+Assumptions!$E$13)^(V5-1)</f>
        <v>95.4</v>
      </c>
      <c r="W12" s="35" t="n">
        <f aca="false">Assumptions!$C$13*W8*W9*(1+Assumptions!$E$13)^(W5-1)</f>
        <v>95.4</v>
      </c>
      <c r="X12" s="35" t="n">
        <f aca="false">Assumptions!$C$13*X8*X9*(1+Assumptions!$E$13)^(X5-1)</f>
        <v>95.4</v>
      </c>
      <c r="Y12" s="35" t="n">
        <f aca="false">Assumptions!$C$13*Y8*Y9*(1+Assumptions!$E$13)^(Y5-1)</f>
        <v>90.63</v>
      </c>
      <c r="Z12" s="35" t="n">
        <f aca="false">Assumptions!$C$13*Z8*Z9*(1+Assumptions!$E$13)^(Z5-1)</f>
        <v>90.63</v>
      </c>
      <c r="AA12" s="35" t="n">
        <f aca="false">Assumptions!$C$13*AA8*AA9*(1+Assumptions!$E$13)^(AA5-1)</f>
        <v>91.0116</v>
      </c>
      <c r="AB12" s="35" t="n">
        <f aca="false">Assumptions!$C$13*AB8*AB9*(1+Assumptions!$E$13)^(AB5-1)</f>
        <v>91.0116</v>
      </c>
      <c r="AC12" s="35" t="n">
        <f aca="false">Assumptions!$C$13*AC8*AC9*(1+Assumptions!$E$13)^(AC5-1)</f>
        <v>101.124</v>
      </c>
      <c r="AD12" s="35" t="n">
        <f aca="false">Assumptions!$C$13*AD8*AD9*(1+Assumptions!$E$13)^(AD5-1)</f>
        <v>106.1802</v>
      </c>
      <c r="AE12" s="35" t="n">
        <f aca="false">Assumptions!$C$13*AE8*AE9*(1+Assumptions!$E$13)^(AE5-1)</f>
        <v>111.2364</v>
      </c>
      <c r="AF12" s="35" t="n">
        <f aca="false">Assumptions!$C$13*AF8*AF9*(1+Assumptions!$E$13)^(AF5-1)</f>
        <v>111.2364</v>
      </c>
      <c r="AG12" s="35" t="n">
        <f aca="false">Assumptions!$C$13*AG8*AG9*(1+Assumptions!$E$13)^(AG5-1)</f>
        <v>106.1802</v>
      </c>
      <c r="AH12" s="35" t="n">
        <f aca="false">Assumptions!$C$13*AH8*AH9*(1+Assumptions!$E$13)^(AH5-1)</f>
        <v>101.124</v>
      </c>
      <c r="AI12" s="35" t="n">
        <f aca="false">Assumptions!$C$13*AI8*AI9*(1+Assumptions!$E$13)^(AI5-1)</f>
        <v>101.124</v>
      </c>
      <c r="AJ12" s="35" t="n">
        <f aca="false">Assumptions!$C$13*AJ8*AJ9*(1+Assumptions!$E$13)^(AJ5-1)</f>
        <v>101.124</v>
      </c>
      <c r="AK12" s="35" t="n">
        <f aca="false">Assumptions!$C$13*AK8*AK9*(1+Assumptions!$E$13)^(AK5-1)</f>
        <v>96.0678</v>
      </c>
      <c r="AL12" s="35" t="n">
        <f aca="false">Assumptions!$C$13*AL8*AL9*(1+Assumptions!$E$13)^(AL5-1)</f>
        <v>96.0678</v>
      </c>
      <c r="AM12" s="35" t="n">
        <f aca="false">Assumptions!$C$13*AM8*AM9*(1+Assumptions!$E$13)^(AM5-1)</f>
        <v>96.472296</v>
      </c>
      <c r="AN12" s="35" t="n">
        <f aca="false">Assumptions!$C$13*AN8*AN9*(1+Assumptions!$E$13)^(AN5-1)</f>
        <v>96.472296</v>
      </c>
      <c r="AO12" s="35" t="n">
        <f aca="false">Assumptions!$C$13*AO8*AO9*(1+Assumptions!$E$13)^(AO5-1)</f>
        <v>107.19144</v>
      </c>
      <c r="AP12" s="35" t="n">
        <f aca="false">Assumptions!$C$13*AP8*AP9*(1+Assumptions!$E$13)^(AP5-1)</f>
        <v>112.551012</v>
      </c>
      <c r="AQ12" s="35" t="n">
        <f aca="false">Assumptions!$C$13*AQ8*AQ9*(1+Assumptions!$E$13)^(AQ5-1)</f>
        <v>117.910584</v>
      </c>
      <c r="AR12" s="35" t="n">
        <f aca="false">Assumptions!$C$13*AR8*AR9*(1+Assumptions!$E$13)^(AR5-1)</f>
        <v>117.910584</v>
      </c>
      <c r="AS12" s="35" t="n">
        <f aca="false">Assumptions!$C$13*AS8*AS9*(1+Assumptions!$E$13)^(AS5-1)</f>
        <v>112.551012</v>
      </c>
      <c r="AT12" s="35" t="n">
        <f aca="false">Assumptions!$C$13*AT8*AT9*(1+Assumptions!$E$13)^(AT5-1)</f>
        <v>107.19144</v>
      </c>
      <c r="AU12" s="35" t="n">
        <f aca="false">Assumptions!$C$13*AU8*AU9*(1+Assumptions!$E$13)^(AU5-1)</f>
        <v>107.19144</v>
      </c>
      <c r="AV12" s="35" t="n">
        <f aca="false">Assumptions!$C$13*AV8*AV9*(1+Assumptions!$E$13)^(AV5-1)</f>
        <v>107.19144</v>
      </c>
      <c r="AW12" s="35" t="n">
        <f aca="false">Assumptions!$C$13*AW8*AW9*(1+Assumptions!$E$13)^(AW5-1)</f>
        <v>101.831868</v>
      </c>
      <c r="AX12" s="35" t="n">
        <f aca="false">Assumptions!$C$13*AX8*AX9*(1+Assumptions!$E$13)^(AX5-1)</f>
        <v>101.831868</v>
      </c>
      <c r="AY12" s="35" t="n">
        <f aca="false">Assumptions!$C$13*AY8*AY9*(1+Assumptions!$E$13)^(AY5-1)</f>
        <v>102.26063376</v>
      </c>
      <c r="AZ12" s="35" t="n">
        <f aca="false">Assumptions!$C$13*AZ8*AZ9*(1+Assumptions!$E$13)^(AZ5-1)</f>
        <v>102.26063376</v>
      </c>
      <c r="BA12" s="35" t="n">
        <f aca="false">Assumptions!$C$13*BA8*BA9*(1+Assumptions!$E$13)^(BA5-1)</f>
        <v>113.6229264</v>
      </c>
      <c r="BB12" s="35" t="n">
        <f aca="false">Assumptions!$C$13*BB8*BB9*(1+Assumptions!$E$13)^(BB5-1)</f>
        <v>119.30407272</v>
      </c>
      <c r="BC12" s="35" t="n">
        <f aca="false">Assumptions!$C$13*BC8*BC9*(1+Assumptions!$E$13)^(BC5-1)</f>
        <v>124.98521904</v>
      </c>
      <c r="BD12" s="35" t="n">
        <f aca="false">Assumptions!$C$13*BD8*BD9*(1+Assumptions!$E$13)^(BD5-1)</f>
        <v>124.98521904</v>
      </c>
      <c r="BE12" s="35" t="n">
        <f aca="false">Assumptions!$C$13*BE8*BE9*(1+Assumptions!$E$13)^(BE5-1)</f>
        <v>119.30407272</v>
      </c>
      <c r="BF12" s="35" t="n">
        <f aca="false">Assumptions!$C$13*BF8*BF9*(1+Assumptions!$E$13)^(BF5-1)</f>
        <v>113.6229264</v>
      </c>
      <c r="BG12" s="35" t="n">
        <f aca="false">Assumptions!$C$13*BG8*BG9*(1+Assumptions!$E$13)^(BG5-1)</f>
        <v>113.6229264</v>
      </c>
      <c r="BH12" s="35" t="n">
        <f aca="false">Assumptions!$C$13*BH8*BH9*(1+Assumptions!$E$13)^(BH5-1)</f>
        <v>113.6229264</v>
      </c>
      <c r="BI12" s="35" t="n">
        <f aca="false">Assumptions!$C$13*BI8*BI9*(1+Assumptions!$E$13)^(BI5-1)</f>
        <v>107.94178008</v>
      </c>
      <c r="BJ12" s="35" t="n">
        <f aca="false">Assumptions!$C$13*BJ8*BJ9*(1+Assumptions!$E$13)^(BJ5-1)</f>
        <v>107.94178008</v>
      </c>
      <c r="BK12" s="36" t="n">
        <f aca="false">SUMIF($C$5:$BJ$5,BK$5,$C12:$BJ12)</f>
        <v>951.3</v>
      </c>
      <c r="BL12" s="36" t="n">
        <f aca="false">SUMIF($C$5:$BJ$5,BL$5,$C12:$BJ12)</f>
        <v>1144.8</v>
      </c>
      <c r="BM12" s="36" t="n">
        <f aca="false">SUMIF($C$5:$BJ$5,BM$5,$C12:$BJ12)</f>
        <v>1213.488</v>
      </c>
      <c r="BN12" s="36" t="n">
        <f aca="false">SUMIF($C$5:$BJ$5,BN$5,$C12:$BJ12)</f>
        <v>1286.29728</v>
      </c>
      <c r="BO12" s="36" t="n">
        <f aca="false">SUMIF($C$5:$BJ$5,BO$5,$C12:$BJ12)</f>
        <v>1363.4751168</v>
      </c>
    </row>
    <row r="13" customFormat="false" ht="15" hidden="false" customHeight="false" outlineLevel="0" collapsed="false">
      <c r="A13" s="18" t="s">
        <v>227</v>
      </c>
      <c r="B13" s="2" t="s">
        <v>228</v>
      </c>
      <c r="C13" s="37" t="n">
        <f aca="false">Assumptions!$D$13*(1+Assumptions!$F$13)^(C5-1)</f>
        <v>250</v>
      </c>
      <c r="D13" s="37" t="n">
        <f aca="false">Assumptions!$D$13*(1+Assumptions!$F$13)^(D5-1)</f>
        <v>250</v>
      </c>
      <c r="E13" s="37" t="n">
        <f aca="false">Assumptions!$D$13*(1+Assumptions!$F$13)^(E5-1)</f>
        <v>250</v>
      </c>
      <c r="F13" s="37" t="n">
        <f aca="false">Assumptions!$D$13*(1+Assumptions!$F$13)^(F5-1)</f>
        <v>250</v>
      </c>
      <c r="G13" s="37" t="n">
        <f aca="false">Assumptions!$D$13*(1+Assumptions!$F$13)^(G5-1)</f>
        <v>250</v>
      </c>
      <c r="H13" s="37" t="n">
        <f aca="false">Assumptions!$D$13*(1+Assumptions!$F$13)^(H5-1)</f>
        <v>250</v>
      </c>
      <c r="I13" s="37" t="n">
        <f aca="false">Assumptions!$D$13*(1+Assumptions!$F$13)^(I5-1)</f>
        <v>250</v>
      </c>
      <c r="J13" s="37" t="n">
        <f aca="false">Assumptions!$D$13*(1+Assumptions!$F$13)^(J5-1)</f>
        <v>250</v>
      </c>
      <c r="K13" s="37" t="n">
        <f aca="false">Assumptions!$D$13*(1+Assumptions!$F$13)^(K5-1)</f>
        <v>250</v>
      </c>
      <c r="L13" s="37" t="n">
        <f aca="false">Assumptions!$D$13*(1+Assumptions!$F$13)^(L5-1)</f>
        <v>250</v>
      </c>
      <c r="M13" s="37" t="n">
        <f aca="false">Assumptions!$D$13*(1+Assumptions!$F$13)^(M5-1)</f>
        <v>250</v>
      </c>
      <c r="N13" s="37" t="n">
        <f aca="false">Assumptions!$D$13*(1+Assumptions!$F$13)^(N5-1)</f>
        <v>250</v>
      </c>
      <c r="O13" s="37" t="n">
        <f aca="false">Assumptions!$D$13*(1+Assumptions!$F$13)^(O5-1)</f>
        <v>257.5</v>
      </c>
      <c r="P13" s="37" t="n">
        <f aca="false">Assumptions!$D$13*(1+Assumptions!$F$13)^(P5-1)</f>
        <v>257.5</v>
      </c>
      <c r="Q13" s="37" t="n">
        <f aca="false">Assumptions!$D$13*(1+Assumptions!$F$13)^(Q5-1)</f>
        <v>257.5</v>
      </c>
      <c r="R13" s="37" t="n">
        <f aca="false">Assumptions!$D$13*(1+Assumptions!$F$13)^(R5-1)</f>
        <v>257.5</v>
      </c>
      <c r="S13" s="37" t="n">
        <f aca="false">Assumptions!$D$13*(1+Assumptions!$F$13)^(S5-1)</f>
        <v>257.5</v>
      </c>
      <c r="T13" s="37" t="n">
        <f aca="false">Assumptions!$D$13*(1+Assumptions!$F$13)^(T5-1)</f>
        <v>257.5</v>
      </c>
      <c r="U13" s="37" t="n">
        <f aca="false">Assumptions!$D$13*(1+Assumptions!$F$13)^(U5-1)</f>
        <v>257.5</v>
      </c>
      <c r="V13" s="37" t="n">
        <f aca="false">Assumptions!$D$13*(1+Assumptions!$F$13)^(V5-1)</f>
        <v>257.5</v>
      </c>
      <c r="W13" s="37" t="n">
        <f aca="false">Assumptions!$D$13*(1+Assumptions!$F$13)^(W5-1)</f>
        <v>257.5</v>
      </c>
      <c r="X13" s="37" t="n">
        <f aca="false">Assumptions!$D$13*(1+Assumptions!$F$13)^(X5-1)</f>
        <v>257.5</v>
      </c>
      <c r="Y13" s="37" t="n">
        <f aca="false">Assumptions!$D$13*(1+Assumptions!$F$13)^(Y5-1)</f>
        <v>257.5</v>
      </c>
      <c r="Z13" s="37" t="n">
        <f aca="false">Assumptions!$D$13*(1+Assumptions!$F$13)^(Z5-1)</f>
        <v>257.5</v>
      </c>
      <c r="AA13" s="37" t="n">
        <f aca="false">Assumptions!$D$13*(1+Assumptions!$F$13)^(AA5-1)</f>
        <v>265.225</v>
      </c>
      <c r="AB13" s="37" t="n">
        <f aca="false">Assumptions!$D$13*(1+Assumptions!$F$13)^(AB5-1)</f>
        <v>265.225</v>
      </c>
      <c r="AC13" s="37" t="n">
        <f aca="false">Assumptions!$D$13*(1+Assumptions!$F$13)^(AC5-1)</f>
        <v>265.225</v>
      </c>
      <c r="AD13" s="37" t="n">
        <f aca="false">Assumptions!$D$13*(1+Assumptions!$F$13)^(AD5-1)</f>
        <v>265.225</v>
      </c>
      <c r="AE13" s="37" t="n">
        <f aca="false">Assumptions!$D$13*(1+Assumptions!$F$13)^(AE5-1)</f>
        <v>265.225</v>
      </c>
      <c r="AF13" s="37" t="n">
        <f aca="false">Assumptions!$D$13*(1+Assumptions!$F$13)^(AF5-1)</f>
        <v>265.225</v>
      </c>
      <c r="AG13" s="37" t="n">
        <f aca="false">Assumptions!$D$13*(1+Assumptions!$F$13)^(AG5-1)</f>
        <v>265.225</v>
      </c>
      <c r="AH13" s="37" t="n">
        <f aca="false">Assumptions!$D$13*(1+Assumptions!$F$13)^(AH5-1)</f>
        <v>265.225</v>
      </c>
      <c r="AI13" s="37" t="n">
        <f aca="false">Assumptions!$D$13*(1+Assumptions!$F$13)^(AI5-1)</f>
        <v>265.225</v>
      </c>
      <c r="AJ13" s="37" t="n">
        <f aca="false">Assumptions!$D$13*(1+Assumptions!$F$13)^(AJ5-1)</f>
        <v>265.225</v>
      </c>
      <c r="AK13" s="37" t="n">
        <f aca="false">Assumptions!$D$13*(1+Assumptions!$F$13)^(AK5-1)</f>
        <v>265.225</v>
      </c>
      <c r="AL13" s="37" t="n">
        <f aca="false">Assumptions!$D$13*(1+Assumptions!$F$13)^(AL5-1)</f>
        <v>265.225</v>
      </c>
      <c r="AM13" s="37" t="n">
        <f aca="false">Assumptions!$D$13*(1+Assumptions!$F$13)^(AM5-1)</f>
        <v>273.18175</v>
      </c>
      <c r="AN13" s="37" t="n">
        <f aca="false">Assumptions!$D$13*(1+Assumptions!$F$13)^(AN5-1)</f>
        <v>273.18175</v>
      </c>
      <c r="AO13" s="37" t="n">
        <f aca="false">Assumptions!$D$13*(1+Assumptions!$F$13)^(AO5-1)</f>
        <v>273.18175</v>
      </c>
      <c r="AP13" s="37" t="n">
        <f aca="false">Assumptions!$D$13*(1+Assumptions!$F$13)^(AP5-1)</f>
        <v>273.18175</v>
      </c>
      <c r="AQ13" s="37" t="n">
        <f aca="false">Assumptions!$D$13*(1+Assumptions!$F$13)^(AQ5-1)</f>
        <v>273.18175</v>
      </c>
      <c r="AR13" s="37" t="n">
        <f aca="false">Assumptions!$D$13*(1+Assumptions!$F$13)^(AR5-1)</f>
        <v>273.18175</v>
      </c>
      <c r="AS13" s="37" t="n">
        <f aca="false">Assumptions!$D$13*(1+Assumptions!$F$13)^(AS5-1)</f>
        <v>273.18175</v>
      </c>
      <c r="AT13" s="37" t="n">
        <f aca="false">Assumptions!$D$13*(1+Assumptions!$F$13)^(AT5-1)</f>
        <v>273.18175</v>
      </c>
      <c r="AU13" s="37" t="n">
        <f aca="false">Assumptions!$D$13*(1+Assumptions!$F$13)^(AU5-1)</f>
        <v>273.18175</v>
      </c>
      <c r="AV13" s="37" t="n">
        <f aca="false">Assumptions!$D$13*(1+Assumptions!$F$13)^(AV5-1)</f>
        <v>273.18175</v>
      </c>
      <c r="AW13" s="37" t="n">
        <f aca="false">Assumptions!$D$13*(1+Assumptions!$F$13)^(AW5-1)</f>
        <v>273.18175</v>
      </c>
      <c r="AX13" s="37" t="n">
        <f aca="false">Assumptions!$D$13*(1+Assumptions!$F$13)^(AX5-1)</f>
        <v>273.18175</v>
      </c>
      <c r="AY13" s="37" t="n">
        <f aca="false">Assumptions!$D$13*(1+Assumptions!$F$13)^(AY5-1)</f>
        <v>281.3772025</v>
      </c>
      <c r="AZ13" s="37" t="n">
        <f aca="false">Assumptions!$D$13*(1+Assumptions!$F$13)^(AZ5-1)</f>
        <v>281.3772025</v>
      </c>
      <c r="BA13" s="37" t="n">
        <f aca="false">Assumptions!$D$13*(1+Assumptions!$F$13)^(BA5-1)</f>
        <v>281.3772025</v>
      </c>
      <c r="BB13" s="37" t="n">
        <f aca="false">Assumptions!$D$13*(1+Assumptions!$F$13)^(BB5-1)</f>
        <v>281.3772025</v>
      </c>
      <c r="BC13" s="37" t="n">
        <f aca="false">Assumptions!$D$13*(1+Assumptions!$F$13)^(BC5-1)</f>
        <v>281.3772025</v>
      </c>
      <c r="BD13" s="37" t="n">
        <f aca="false">Assumptions!$D$13*(1+Assumptions!$F$13)^(BD5-1)</f>
        <v>281.3772025</v>
      </c>
      <c r="BE13" s="37" t="n">
        <f aca="false">Assumptions!$D$13*(1+Assumptions!$F$13)^(BE5-1)</f>
        <v>281.3772025</v>
      </c>
      <c r="BF13" s="37" t="n">
        <f aca="false">Assumptions!$D$13*(1+Assumptions!$F$13)^(BF5-1)</f>
        <v>281.3772025</v>
      </c>
      <c r="BG13" s="37" t="n">
        <f aca="false">Assumptions!$D$13*(1+Assumptions!$F$13)^(BG5-1)</f>
        <v>281.3772025</v>
      </c>
      <c r="BH13" s="37" t="n">
        <f aca="false">Assumptions!$D$13*(1+Assumptions!$F$13)^(BH5-1)</f>
        <v>281.3772025</v>
      </c>
      <c r="BI13" s="37" t="n">
        <f aca="false">Assumptions!$D$13*(1+Assumptions!$F$13)^(BI5-1)</f>
        <v>281.3772025</v>
      </c>
      <c r="BJ13" s="37" t="n">
        <f aca="false">Assumptions!$D$13*(1+Assumptions!$F$13)^(BJ5-1)</f>
        <v>281.3772025</v>
      </c>
      <c r="BK13" s="38" t="n">
        <f aca="false">IF(BK12=0,0,BK14/BK12)</f>
        <v>250</v>
      </c>
      <c r="BL13" s="38" t="n">
        <f aca="false">IF(BL12=0,0,BL14/BL12)</f>
        <v>257.5</v>
      </c>
      <c r="BM13" s="38" t="n">
        <f aca="false">IF(BM12=0,0,BM14/BM12)</f>
        <v>265.225</v>
      </c>
      <c r="BN13" s="38" t="n">
        <f aca="false">IF(BN12=0,0,BN14/BN12)</f>
        <v>273.18175</v>
      </c>
      <c r="BO13" s="38" t="n">
        <f aca="false">IF(BO12=0,0,BO14/BO12)</f>
        <v>281.3772025</v>
      </c>
    </row>
    <row r="14" customFormat="false" ht="15" hidden="false" customHeight="false" outlineLevel="0" collapsed="false">
      <c r="A14" s="39" t="s">
        <v>57</v>
      </c>
      <c r="B14" s="40"/>
      <c r="C14" s="41" t="n">
        <f aca="false">C12*C13</f>
        <v>10125</v>
      </c>
      <c r="D14" s="41" t="n">
        <f aca="false">D12*D13</f>
        <v>12150</v>
      </c>
      <c r="E14" s="41" t="n">
        <f aca="false">E12*E13</f>
        <v>15750</v>
      </c>
      <c r="F14" s="41" t="n">
        <f aca="false">F12*F13</f>
        <v>18900</v>
      </c>
      <c r="G14" s="41" t="n">
        <f aca="false">G12*G13</f>
        <v>22275</v>
      </c>
      <c r="H14" s="41" t="n">
        <f aca="false">H12*H13</f>
        <v>24750</v>
      </c>
      <c r="I14" s="41" t="n">
        <f aca="false">I12*I13</f>
        <v>23625</v>
      </c>
      <c r="J14" s="41" t="n">
        <f aca="false">J12*J13</f>
        <v>22500</v>
      </c>
      <c r="K14" s="41" t="n">
        <f aca="false">K12*K13</f>
        <v>22500</v>
      </c>
      <c r="L14" s="41" t="n">
        <f aca="false">L12*L13</f>
        <v>22500</v>
      </c>
      <c r="M14" s="41" t="n">
        <f aca="false">M12*M13</f>
        <v>21375</v>
      </c>
      <c r="N14" s="41" t="n">
        <f aca="false">N12*N13</f>
        <v>21375</v>
      </c>
      <c r="O14" s="41" t="n">
        <f aca="false">O12*O13</f>
        <v>22108.95</v>
      </c>
      <c r="P14" s="41" t="n">
        <f aca="false">P12*P13</f>
        <v>22108.95</v>
      </c>
      <c r="Q14" s="41" t="n">
        <f aca="false">Q12*Q13</f>
        <v>24565.5</v>
      </c>
      <c r="R14" s="41" t="n">
        <f aca="false">R12*R13</f>
        <v>25793.775</v>
      </c>
      <c r="S14" s="41" t="n">
        <f aca="false">S12*S13</f>
        <v>27022.05</v>
      </c>
      <c r="T14" s="41" t="n">
        <f aca="false">T12*T13</f>
        <v>27022.05</v>
      </c>
      <c r="U14" s="41" t="n">
        <f aca="false">U12*U13</f>
        <v>25793.775</v>
      </c>
      <c r="V14" s="41" t="n">
        <f aca="false">V12*V13</f>
        <v>24565.5</v>
      </c>
      <c r="W14" s="41" t="n">
        <f aca="false">W12*W13</f>
        <v>24565.5</v>
      </c>
      <c r="X14" s="41" t="n">
        <f aca="false">X12*X13</f>
        <v>24565.5</v>
      </c>
      <c r="Y14" s="41" t="n">
        <f aca="false">Y12*Y13</f>
        <v>23337.225</v>
      </c>
      <c r="Z14" s="41" t="n">
        <f aca="false">Z12*Z13</f>
        <v>23337.225</v>
      </c>
      <c r="AA14" s="41" t="n">
        <f aca="false">AA12*AA13</f>
        <v>24138.55161</v>
      </c>
      <c r="AB14" s="41" t="n">
        <f aca="false">AB12*AB13</f>
        <v>24138.55161</v>
      </c>
      <c r="AC14" s="41" t="n">
        <f aca="false">AC12*AC13</f>
        <v>26820.6129</v>
      </c>
      <c r="AD14" s="41" t="n">
        <f aca="false">AD12*AD13</f>
        <v>28161.643545</v>
      </c>
      <c r="AE14" s="41" t="n">
        <f aca="false">AE12*AE13</f>
        <v>29502.67419</v>
      </c>
      <c r="AF14" s="41" t="n">
        <f aca="false">AF12*AF13</f>
        <v>29502.67419</v>
      </c>
      <c r="AG14" s="41" t="n">
        <f aca="false">AG12*AG13</f>
        <v>28161.643545</v>
      </c>
      <c r="AH14" s="41" t="n">
        <f aca="false">AH12*AH13</f>
        <v>26820.6129</v>
      </c>
      <c r="AI14" s="41" t="n">
        <f aca="false">AI12*AI13</f>
        <v>26820.6129</v>
      </c>
      <c r="AJ14" s="41" t="n">
        <f aca="false">AJ12*AJ13</f>
        <v>26820.6129</v>
      </c>
      <c r="AK14" s="41" t="n">
        <f aca="false">AK12*AK13</f>
        <v>25479.582255</v>
      </c>
      <c r="AL14" s="41" t="n">
        <f aca="false">AL12*AL13</f>
        <v>25479.582255</v>
      </c>
      <c r="AM14" s="41" t="n">
        <f aca="false">AM12*AM13</f>
        <v>26354.470647798</v>
      </c>
      <c r="AN14" s="41" t="n">
        <f aca="false">AN12*AN13</f>
        <v>26354.470647798</v>
      </c>
      <c r="AO14" s="41" t="n">
        <f aca="false">AO12*AO13</f>
        <v>29282.74516422</v>
      </c>
      <c r="AP14" s="41" t="n">
        <f aca="false">AP12*AP13</f>
        <v>30746.882422431</v>
      </c>
      <c r="AQ14" s="41" t="n">
        <f aca="false">AQ12*AQ13</f>
        <v>32211.019680642</v>
      </c>
      <c r="AR14" s="41" t="n">
        <f aca="false">AR12*AR13</f>
        <v>32211.019680642</v>
      </c>
      <c r="AS14" s="41" t="n">
        <f aca="false">AS12*AS13</f>
        <v>30746.882422431</v>
      </c>
      <c r="AT14" s="41" t="n">
        <f aca="false">AT12*AT13</f>
        <v>29282.74516422</v>
      </c>
      <c r="AU14" s="41" t="n">
        <f aca="false">AU12*AU13</f>
        <v>29282.74516422</v>
      </c>
      <c r="AV14" s="41" t="n">
        <f aca="false">AV12*AV13</f>
        <v>29282.74516422</v>
      </c>
      <c r="AW14" s="41" t="n">
        <f aca="false">AW12*AW13</f>
        <v>27818.607906009</v>
      </c>
      <c r="AX14" s="41" t="n">
        <f aca="false">AX12*AX13</f>
        <v>27818.607906009</v>
      </c>
      <c r="AY14" s="41" t="n">
        <f aca="false">AY12*AY13</f>
        <v>28773.8110532659</v>
      </c>
      <c r="AZ14" s="41" t="n">
        <f aca="false">AZ12*AZ13</f>
        <v>28773.8110532659</v>
      </c>
      <c r="BA14" s="41" t="n">
        <f aca="false">BA12*BA13</f>
        <v>31970.9011702954</v>
      </c>
      <c r="BB14" s="41" t="n">
        <f aca="false">BB12*BB13</f>
        <v>33569.4462288102</v>
      </c>
      <c r="BC14" s="41" t="n">
        <f aca="false">BC12*BC13</f>
        <v>35167.991287325</v>
      </c>
      <c r="BD14" s="41" t="n">
        <f aca="false">BD12*BD13</f>
        <v>35167.991287325</v>
      </c>
      <c r="BE14" s="41" t="n">
        <f aca="false">BE12*BE13</f>
        <v>33569.4462288102</v>
      </c>
      <c r="BF14" s="41" t="n">
        <f aca="false">BF12*BF13</f>
        <v>31970.9011702954</v>
      </c>
      <c r="BG14" s="41" t="n">
        <f aca="false">BG12*BG13</f>
        <v>31970.9011702954</v>
      </c>
      <c r="BH14" s="41" t="n">
        <f aca="false">BH12*BH13</f>
        <v>31970.9011702954</v>
      </c>
      <c r="BI14" s="41" t="n">
        <f aca="false">BI12*BI13</f>
        <v>30372.3561117806</v>
      </c>
      <c r="BJ14" s="41" t="n">
        <f aca="false">BJ12*BJ13</f>
        <v>30372.3561117806</v>
      </c>
      <c r="BK14" s="42" t="n">
        <f aca="false">SUMIF($C$5:$BJ$5,BK$5,$C14:$BJ14)</f>
        <v>237825</v>
      </c>
      <c r="BL14" s="42" t="n">
        <f aca="false">SUMIF($C$5:$BJ$5,BL$5,$C14:$BJ14)</f>
        <v>294786</v>
      </c>
      <c r="BM14" s="42" t="n">
        <f aca="false">SUMIF($C$5:$BJ$5,BM$5,$C14:$BJ14)</f>
        <v>321847.3548</v>
      </c>
      <c r="BN14" s="42" t="n">
        <f aca="false">SUMIF($C$5:$BJ$5,BN$5,$C14:$BJ14)</f>
        <v>351392.94197064</v>
      </c>
      <c r="BO14" s="42" t="n">
        <f aca="false">SUMIF($C$5:$BJ$5,BO$5,$C14:$BJ14)</f>
        <v>383650.814043545</v>
      </c>
    </row>
    <row r="15" customFormat="false" ht="15" hidden="false" customHeight="false" outlineLevel="0" collapsed="false">
      <c r="A15" s="33" t="str">
        <f aca="false">"Line 2: "&amp;Assumptions!$B$14</f>
        <v>Line 2: Service line B — monthly plans (example)</v>
      </c>
      <c r="B15" s="34"/>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row>
    <row r="16" customFormat="false" ht="15" hidden="false" customHeight="false" outlineLevel="0" collapsed="false">
      <c r="A16" s="18" t="s">
        <v>225</v>
      </c>
      <c r="B16" s="2" t="s">
        <v>226</v>
      </c>
      <c r="C16" s="35" t="n">
        <f aca="false">Assumptions!$C$14*C8*C9*(1+Assumptions!$E$14)^(C5-1)</f>
        <v>67.5</v>
      </c>
      <c r="D16" s="35" t="n">
        <f aca="false">Assumptions!$C$14*D8*D9*(1+Assumptions!$E$14)^(D5-1)</f>
        <v>81</v>
      </c>
      <c r="E16" s="35" t="n">
        <f aca="false">Assumptions!$C$14*E8*E9*(1+Assumptions!$E$14)^(E5-1)</f>
        <v>105</v>
      </c>
      <c r="F16" s="35" t="n">
        <f aca="false">Assumptions!$C$14*F8*F9*(1+Assumptions!$E$14)^(F5-1)</f>
        <v>126</v>
      </c>
      <c r="G16" s="35" t="n">
        <f aca="false">Assumptions!$C$14*G8*G9*(1+Assumptions!$E$14)^(G5-1)</f>
        <v>148.5</v>
      </c>
      <c r="H16" s="35" t="n">
        <f aca="false">Assumptions!$C$14*H8*H9*(1+Assumptions!$E$14)^(H5-1)</f>
        <v>165</v>
      </c>
      <c r="I16" s="35" t="n">
        <f aca="false">Assumptions!$C$14*I8*I9*(1+Assumptions!$E$14)^(I5-1)</f>
        <v>157.5</v>
      </c>
      <c r="J16" s="35" t="n">
        <f aca="false">Assumptions!$C$14*J8*J9*(1+Assumptions!$E$14)^(J5-1)</f>
        <v>150</v>
      </c>
      <c r="K16" s="35" t="n">
        <f aca="false">Assumptions!$C$14*K8*K9*(1+Assumptions!$E$14)^(K5-1)</f>
        <v>150</v>
      </c>
      <c r="L16" s="35" t="n">
        <f aca="false">Assumptions!$C$14*L8*L9*(1+Assumptions!$E$14)^(L5-1)</f>
        <v>150</v>
      </c>
      <c r="M16" s="35" t="n">
        <f aca="false">Assumptions!$C$14*M8*M9*(1+Assumptions!$E$14)^(M5-1)</f>
        <v>142.5</v>
      </c>
      <c r="N16" s="35" t="n">
        <f aca="false">Assumptions!$C$14*N8*N9*(1+Assumptions!$E$14)^(N5-1)</f>
        <v>142.5</v>
      </c>
      <c r="O16" s="35" t="n">
        <f aca="false">Assumptions!$C$14*O8*O9*(1+Assumptions!$E$14)^(O5-1)</f>
        <v>148.5</v>
      </c>
      <c r="P16" s="35" t="n">
        <f aca="false">Assumptions!$C$14*P8*P9*(1+Assumptions!$E$14)^(P5-1)</f>
        <v>148.5</v>
      </c>
      <c r="Q16" s="35" t="n">
        <f aca="false">Assumptions!$C$14*Q8*Q9*(1+Assumptions!$E$14)^(Q5-1)</f>
        <v>165</v>
      </c>
      <c r="R16" s="35" t="n">
        <f aca="false">Assumptions!$C$14*R8*R9*(1+Assumptions!$E$14)^(R5-1)</f>
        <v>173.25</v>
      </c>
      <c r="S16" s="35" t="n">
        <f aca="false">Assumptions!$C$14*S8*S9*(1+Assumptions!$E$14)^(S5-1)</f>
        <v>181.5</v>
      </c>
      <c r="T16" s="35" t="n">
        <f aca="false">Assumptions!$C$14*T8*T9*(1+Assumptions!$E$14)^(T5-1)</f>
        <v>181.5</v>
      </c>
      <c r="U16" s="35" t="n">
        <f aca="false">Assumptions!$C$14*U8*U9*(1+Assumptions!$E$14)^(U5-1)</f>
        <v>173.25</v>
      </c>
      <c r="V16" s="35" t="n">
        <f aca="false">Assumptions!$C$14*V8*V9*(1+Assumptions!$E$14)^(V5-1)</f>
        <v>165</v>
      </c>
      <c r="W16" s="35" t="n">
        <f aca="false">Assumptions!$C$14*W8*W9*(1+Assumptions!$E$14)^(W5-1)</f>
        <v>165</v>
      </c>
      <c r="X16" s="35" t="n">
        <f aca="false">Assumptions!$C$14*X8*X9*(1+Assumptions!$E$14)^(X5-1)</f>
        <v>165</v>
      </c>
      <c r="Y16" s="35" t="n">
        <f aca="false">Assumptions!$C$14*Y8*Y9*(1+Assumptions!$E$14)^(Y5-1)</f>
        <v>156.75</v>
      </c>
      <c r="Z16" s="35" t="n">
        <f aca="false">Assumptions!$C$14*Z8*Z9*(1+Assumptions!$E$14)^(Z5-1)</f>
        <v>156.75</v>
      </c>
      <c r="AA16" s="35" t="n">
        <f aca="false">Assumptions!$C$14*AA8*AA9*(1+Assumptions!$E$14)^(AA5-1)</f>
        <v>163.35</v>
      </c>
      <c r="AB16" s="35" t="n">
        <f aca="false">Assumptions!$C$14*AB8*AB9*(1+Assumptions!$E$14)^(AB5-1)</f>
        <v>163.35</v>
      </c>
      <c r="AC16" s="35" t="n">
        <f aca="false">Assumptions!$C$14*AC8*AC9*(1+Assumptions!$E$14)^(AC5-1)</f>
        <v>181.5</v>
      </c>
      <c r="AD16" s="35" t="n">
        <f aca="false">Assumptions!$C$14*AD8*AD9*(1+Assumptions!$E$14)^(AD5-1)</f>
        <v>190.575</v>
      </c>
      <c r="AE16" s="35" t="n">
        <f aca="false">Assumptions!$C$14*AE8*AE9*(1+Assumptions!$E$14)^(AE5-1)</f>
        <v>199.65</v>
      </c>
      <c r="AF16" s="35" t="n">
        <f aca="false">Assumptions!$C$14*AF8*AF9*(1+Assumptions!$E$14)^(AF5-1)</f>
        <v>199.65</v>
      </c>
      <c r="AG16" s="35" t="n">
        <f aca="false">Assumptions!$C$14*AG8*AG9*(1+Assumptions!$E$14)^(AG5-1)</f>
        <v>190.575</v>
      </c>
      <c r="AH16" s="35" t="n">
        <f aca="false">Assumptions!$C$14*AH8*AH9*(1+Assumptions!$E$14)^(AH5-1)</f>
        <v>181.5</v>
      </c>
      <c r="AI16" s="35" t="n">
        <f aca="false">Assumptions!$C$14*AI8*AI9*(1+Assumptions!$E$14)^(AI5-1)</f>
        <v>181.5</v>
      </c>
      <c r="AJ16" s="35" t="n">
        <f aca="false">Assumptions!$C$14*AJ8*AJ9*(1+Assumptions!$E$14)^(AJ5-1)</f>
        <v>181.5</v>
      </c>
      <c r="AK16" s="35" t="n">
        <f aca="false">Assumptions!$C$14*AK8*AK9*(1+Assumptions!$E$14)^(AK5-1)</f>
        <v>172.425</v>
      </c>
      <c r="AL16" s="35" t="n">
        <f aca="false">Assumptions!$C$14*AL8*AL9*(1+Assumptions!$E$14)^(AL5-1)</f>
        <v>172.425</v>
      </c>
      <c r="AM16" s="35" t="n">
        <f aca="false">Assumptions!$C$14*AM8*AM9*(1+Assumptions!$E$14)^(AM5-1)</f>
        <v>179.685</v>
      </c>
      <c r="AN16" s="35" t="n">
        <f aca="false">Assumptions!$C$14*AN8*AN9*(1+Assumptions!$E$14)^(AN5-1)</f>
        <v>179.685</v>
      </c>
      <c r="AO16" s="35" t="n">
        <f aca="false">Assumptions!$C$14*AO8*AO9*(1+Assumptions!$E$14)^(AO5-1)</f>
        <v>199.65</v>
      </c>
      <c r="AP16" s="35" t="n">
        <f aca="false">Assumptions!$C$14*AP8*AP9*(1+Assumptions!$E$14)^(AP5-1)</f>
        <v>209.6325</v>
      </c>
      <c r="AQ16" s="35" t="n">
        <f aca="false">Assumptions!$C$14*AQ8*AQ9*(1+Assumptions!$E$14)^(AQ5-1)</f>
        <v>219.615</v>
      </c>
      <c r="AR16" s="35" t="n">
        <f aca="false">Assumptions!$C$14*AR8*AR9*(1+Assumptions!$E$14)^(AR5-1)</f>
        <v>219.615</v>
      </c>
      <c r="AS16" s="35" t="n">
        <f aca="false">Assumptions!$C$14*AS8*AS9*(1+Assumptions!$E$14)^(AS5-1)</f>
        <v>209.6325</v>
      </c>
      <c r="AT16" s="35" t="n">
        <f aca="false">Assumptions!$C$14*AT8*AT9*(1+Assumptions!$E$14)^(AT5-1)</f>
        <v>199.65</v>
      </c>
      <c r="AU16" s="35" t="n">
        <f aca="false">Assumptions!$C$14*AU8*AU9*(1+Assumptions!$E$14)^(AU5-1)</f>
        <v>199.65</v>
      </c>
      <c r="AV16" s="35" t="n">
        <f aca="false">Assumptions!$C$14*AV8*AV9*(1+Assumptions!$E$14)^(AV5-1)</f>
        <v>199.65</v>
      </c>
      <c r="AW16" s="35" t="n">
        <f aca="false">Assumptions!$C$14*AW8*AW9*(1+Assumptions!$E$14)^(AW5-1)</f>
        <v>189.6675</v>
      </c>
      <c r="AX16" s="35" t="n">
        <f aca="false">Assumptions!$C$14*AX8*AX9*(1+Assumptions!$E$14)^(AX5-1)</f>
        <v>189.6675</v>
      </c>
      <c r="AY16" s="35" t="n">
        <f aca="false">Assumptions!$C$14*AY8*AY9*(1+Assumptions!$E$14)^(AY5-1)</f>
        <v>197.6535</v>
      </c>
      <c r="AZ16" s="35" t="n">
        <f aca="false">Assumptions!$C$14*AZ8*AZ9*(1+Assumptions!$E$14)^(AZ5-1)</f>
        <v>197.6535</v>
      </c>
      <c r="BA16" s="35" t="n">
        <f aca="false">Assumptions!$C$14*BA8*BA9*(1+Assumptions!$E$14)^(BA5-1)</f>
        <v>219.615</v>
      </c>
      <c r="BB16" s="35" t="n">
        <f aca="false">Assumptions!$C$14*BB8*BB9*(1+Assumptions!$E$14)^(BB5-1)</f>
        <v>230.59575</v>
      </c>
      <c r="BC16" s="35" t="n">
        <f aca="false">Assumptions!$C$14*BC8*BC9*(1+Assumptions!$E$14)^(BC5-1)</f>
        <v>241.5765</v>
      </c>
      <c r="BD16" s="35" t="n">
        <f aca="false">Assumptions!$C$14*BD8*BD9*(1+Assumptions!$E$14)^(BD5-1)</f>
        <v>241.5765</v>
      </c>
      <c r="BE16" s="35" t="n">
        <f aca="false">Assumptions!$C$14*BE8*BE9*(1+Assumptions!$E$14)^(BE5-1)</f>
        <v>230.59575</v>
      </c>
      <c r="BF16" s="35" t="n">
        <f aca="false">Assumptions!$C$14*BF8*BF9*(1+Assumptions!$E$14)^(BF5-1)</f>
        <v>219.615</v>
      </c>
      <c r="BG16" s="35" t="n">
        <f aca="false">Assumptions!$C$14*BG8*BG9*(1+Assumptions!$E$14)^(BG5-1)</f>
        <v>219.615</v>
      </c>
      <c r="BH16" s="35" t="n">
        <f aca="false">Assumptions!$C$14*BH8*BH9*(1+Assumptions!$E$14)^(BH5-1)</f>
        <v>219.615</v>
      </c>
      <c r="BI16" s="35" t="n">
        <f aca="false">Assumptions!$C$14*BI8*BI9*(1+Assumptions!$E$14)^(BI5-1)</f>
        <v>208.63425</v>
      </c>
      <c r="BJ16" s="35" t="n">
        <f aca="false">Assumptions!$C$14*BJ8*BJ9*(1+Assumptions!$E$14)^(BJ5-1)</f>
        <v>208.63425</v>
      </c>
      <c r="BK16" s="36" t="n">
        <f aca="false">SUMIF($C$5:$BJ$5,BK$5,$C16:$BJ16)</f>
        <v>1585.5</v>
      </c>
      <c r="BL16" s="36" t="n">
        <f aca="false">SUMIF($C$5:$BJ$5,BL$5,$C16:$BJ16)</f>
        <v>1980</v>
      </c>
      <c r="BM16" s="36" t="n">
        <f aca="false">SUMIF($C$5:$BJ$5,BM$5,$C16:$BJ16)</f>
        <v>2178</v>
      </c>
      <c r="BN16" s="36" t="n">
        <f aca="false">SUMIF($C$5:$BJ$5,BN$5,$C16:$BJ16)</f>
        <v>2395.8</v>
      </c>
      <c r="BO16" s="36" t="n">
        <f aca="false">SUMIF($C$5:$BJ$5,BO$5,$C16:$BJ16)</f>
        <v>2635.38</v>
      </c>
    </row>
    <row r="17" customFormat="false" ht="15" hidden="false" customHeight="false" outlineLevel="0" collapsed="false">
      <c r="A17" s="18" t="s">
        <v>227</v>
      </c>
      <c r="B17" s="2" t="s">
        <v>228</v>
      </c>
      <c r="C17" s="37" t="n">
        <f aca="false">Assumptions!$D$14*(1+Assumptions!$F$14)^(C5-1)</f>
        <v>40</v>
      </c>
      <c r="D17" s="37" t="n">
        <f aca="false">Assumptions!$D$14*(1+Assumptions!$F$14)^(D5-1)</f>
        <v>40</v>
      </c>
      <c r="E17" s="37" t="n">
        <f aca="false">Assumptions!$D$14*(1+Assumptions!$F$14)^(E5-1)</f>
        <v>40</v>
      </c>
      <c r="F17" s="37" t="n">
        <f aca="false">Assumptions!$D$14*(1+Assumptions!$F$14)^(F5-1)</f>
        <v>40</v>
      </c>
      <c r="G17" s="37" t="n">
        <f aca="false">Assumptions!$D$14*(1+Assumptions!$F$14)^(G5-1)</f>
        <v>40</v>
      </c>
      <c r="H17" s="37" t="n">
        <f aca="false">Assumptions!$D$14*(1+Assumptions!$F$14)^(H5-1)</f>
        <v>40</v>
      </c>
      <c r="I17" s="37" t="n">
        <f aca="false">Assumptions!$D$14*(1+Assumptions!$F$14)^(I5-1)</f>
        <v>40</v>
      </c>
      <c r="J17" s="37" t="n">
        <f aca="false">Assumptions!$D$14*(1+Assumptions!$F$14)^(J5-1)</f>
        <v>40</v>
      </c>
      <c r="K17" s="37" t="n">
        <f aca="false">Assumptions!$D$14*(1+Assumptions!$F$14)^(K5-1)</f>
        <v>40</v>
      </c>
      <c r="L17" s="37" t="n">
        <f aca="false">Assumptions!$D$14*(1+Assumptions!$F$14)^(L5-1)</f>
        <v>40</v>
      </c>
      <c r="M17" s="37" t="n">
        <f aca="false">Assumptions!$D$14*(1+Assumptions!$F$14)^(M5-1)</f>
        <v>40</v>
      </c>
      <c r="N17" s="37" t="n">
        <f aca="false">Assumptions!$D$14*(1+Assumptions!$F$14)^(N5-1)</f>
        <v>40</v>
      </c>
      <c r="O17" s="37" t="n">
        <f aca="false">Assumptions!$D$14*(1+Assumptions!$F$14)^(O5-1)</f>
        <v>41.2</v>
      </c>
      <c r="P17" s="37" t="n">
        <f aca="false">Assumptions!$D$14*(1+Assumptions!$F$14)^(P5-1)</f>
        <v>41.2</v>
      </c>
      <c r="Q17" s="37" t="n">
        <f aca="false">Assumptions!$D$14*(1+Assumptions!$F$14)^(Q5-1)</f>
        <v>41.2</v>
      </c>
      <c r="R17" s="37" t="n">
        <f aca="false">Assumptions!$D$14*(1+Assumptions!$F$14)^(R5-1)</f>
        <v>41.2</v>
      </c>
      <c r="S17" s="37" t="n">
        <f aca="false">Assumptions!$D$14*(1+Assumptions!$F$14)^(S5-1)</f>
        <v>41.2</v>
      </c>
      <c r="T17" s="37" t="n">
        <f aca="false">Assumptions!$D$14*(1+Assumptions!$F$14)^(T5-1)</f>
        <v>41.2</v>
      </c>
      <c r="U17" s="37" t="n">
        <f aca="false">Assumptions!$D$14*(1+Assumptions!$F$14)^(U5-1)</f>
        <v>41.2</v>
      </c>
      <c r="V17" s="37" t="n">
        <f aca="false">Assumptions!$D$14*(1+Assumptions!$F$14)^(V5-1)</f>
        <v>41.2</v>
      </c>
      <c r="W17" s="37" t="n">
        <f aca="false">Assumptions!$D$14*(1+Assumptions!$F$14)^(W5-1)</f>
        <v>41.2</v>
      </c>
      <c r="X17" s="37" t="n">
        <f aca="false">Assumptions!$D$14*(1+Assumptions!$F$14)^(X5-1)</f>
        <v>41.2</v>
      </c>
      <c r="Y17" s="37" t="n">
        <f aca="false">Assumptions!$D$14*(1+Assumptions!$F$14)^(Y5-1)</f>
        <v>41.2</v>
      </c>
      <c r="Z17" s="37" t="n">
        <f aca="false">Assumptions!$D$14*(1+Assumptions!$F$14)^(Z5-1)</f>
        <v>41.2</v>
      </c>
      <c r="AA17" s="37" t="n">
        <f aca="false">Assumptions!$D$14*(1+Assumptions!$F$14)^(AA5-1)</f>
        <v>42.436</v>
      </c>
      <c r="AB17" s="37" t="n">
        <f aca="false">Assumptions!$D$14*(1+Assumptions!$F$14)^(AB5-1)</f>
        <v>42.436</v>
      </c>
      <c r="AC17" s="37" t="n">
        <f aca="false">Assumptions!$D$14*(1+Assumptions!$F$14)^(AC5-1)</f>
        <v>42.436</v>
      </c>
      <c r="AD17" s="37" t="n">
        <f aca="false">Assumptions!$D$14*(1+Assumptions!$F$14)^(AD5-1)</f>
        <v>42.436</v>
      </c>
      <c r="AE17" s="37" t="n">
        <f aca="false">Assumptions!$D$14*(1+Assumptions!$F$14)^(AE5-1)</f>
        <v>42.436</v>
      </c>
      <c r="AF17" s="37" t="n">
        <f aca="false">Assumptions!$D$14*(1+Assumptions!$F$14)^(AF5-1)</f>
        <v>42.436</v>
      </c>
      <c r="AG17" s="37" t="n">
        <f aca="false">Assumptions!$D$14*(1+Assumptions!$F$14)^(AG5-1)</f>
        <v>42.436</v>
      </c>
      <c r="AH17" s="37" t="n">
        <f aca="false">Assumptions!$D$14*(1+Assumptions!$F$14)^(AH5-1)</f>
        <v>42.436</v>
      </c>
      <c r="AI17" s="37" t="n">
        <f aca="false">Assumptions!$D$14*(1+Assumptions!$F$14)^(AI5-1)</f>
        <v>42.436</v>
      </c>
      <c r="AJ17" s="37" t="n">
        <f aca="false">Assumptions!$D$14*(1+Assumptions!$F$14)^(AJ5-1)</f>
        <v>42.436</v>
      </c>
      <c r="AK17" s="37" t="n">
        <f aca="false">Assumptions!$D$14*(1+Assumptions!$F$14)^(AK5-1)</f>
        <v>42.436</v>
      </c>
      <c r="AL17" s="37" t="n">
        <f aca="false">Assumptions!$D$14*(1+Assumptions!$F$14)^(AL5-1)</f>
        <v>42.436</v>
      </c>
      <c r="AM17" s="37" t="n">
        <f aca="false">Assumptions!$D$14*(1+Assumptions!$F$14)^(AM5-1)</f>
        <v>43.70908</v>
      </c>
      <c r="AN17" s="37" t="n">
        <f aca="false">Assumptions!$D$14*(1+Assumptions!$F$14)^(AN5-1)</f>
        <v>43.70908</v>
      </c>
      <c r="AO17" s="37" t="n">
        <f aca="false">Assumptions!$D$14*(1+Assumptions!$F$14)^(AO5-1)</f>
        <v>43.70908</v>
      </c>
      <c r="AP17" s="37" t="n">
        <f aca="false">Assumptions!$D$14*(1+Assumptions!$F$14)^(AP5-1)</f>
        <v>43.70908</v>
      </c>
      <c r="AQ17" s="37" t="n">
        <f aca="false">Assumptions!$D$14*(1+Assumptions!$F$14)^(AQ5-1)</f>
        <v>43.70908</v>
      </c>
      <c r="AR17" s="37" t="n">
        <f aca="false">Assumptions!$D$14*(1+Assumptions!$F$14)^(AR5-1)</f>
        <v>43.70908</v>
      </c>
      <c r="AS17" s="37" t="n">
        <f aca="false">Assumptions!$D$14*(1+Assumptions!$F$14)^(AS5-1)</f>
        <v>43.70908</v>
      </c>
      <c r="AT17" s="37" t="n">
        <f aca="false">Assumptions!$D$14*(1+Assumptions!$F$14)^(AT5-1)</f>
        <v>43.70908</v>
      </c>
      <c r="AU17" s="37" t="n">
        <f aca="false">Assumptions!$D$14*(1+Assumptions!$F$14)^(AU5-1)</f>
        <v>43.70908</v>
      </c>
      <c r="AV17" s="37" t="n">
        <f aca="false">Assumptions!$D$14*(1+Assumptions!$F$14)^(AV5-1)</f>
        <v>43.70908</v>
      </c>
      <c r="AW17" s="37" t="n">
        <f aca="false">Assumptions!$D$14*(1+Assumptions!$F$14)^(AW5-1)</f>
        <v>43.70908</v>
      </c>
      <c r="AX17" s="37" t="n">
        <f aca="false">Assumptions!$D$14*(1+Assumptions!$F$14)^(AX5-1)</f>
        <v>43.70908</v>
      </c>
      <c r="AY17" s="37" t="n">
        <f aca="false">Assumptions!$D$14*(1+Assumptions!$F$14)^(AY5-1)</f>
        <v>45.0203524</v>
      </c>
      <c r="AZ17" s="37" t="n">
        <f aca="false">Assumptions!$D$14*(1+Assumptions!$F$14)^(AZ5-1)</f>
        <v>45.0203524</v>
      </c>
      <c r="BA17" s="37" t="n">
        <f aca="false">Assumptions!$D$14*(1+Assumptions!$F$14)^(BA5-1)</f>
        <v>45.0203524</v>
      </c>
      <c r="BB17" s="37" t="n">
        <f aca="false">Assumptions!$D$14*(1+Assumptions!$F$14)^(BB5-1)</f>
        <v>45.0203524</v>
      </c>
      <c r="BC17" s="37" t="n">
        <f aca="false">Assumptions!$D$14*(1+Assumptions!$F$14)^(BC5-1)</f>
        <v>45.0203524</v>
      </c>
      <c r="BD17" s="37" t="n">
        <f aca="false">Assumptions!$D$14*(1+Assumptions!$F$14)^(BD5-1)</f>
        <v>45.0203524</v>
      </c>
      <c r="BE17" s="37" t="n">
        <f aca="false">Assumptions!$D$14*(1+Assumptions!$F$14)^(BE5-1)</f>
        <v>45.0203524</v>
      </c>
      <c r="BF17" s="37" t="n">
        <f aca="false">Assumptions!$D$14*(1+Assumptions!$F$14)^(BF5-1)</f>
        <v>45.0203524</v>
      </c>
      <c r="BG17" s="37" t="n">
        <f aca="false">Assumptions!$D$14*(1+Assumptions!$F$14)^(BG5-1)</f>
        <v>45.0203524</v>
      </c>
      <c r="BH17" s="37" t="n">
        <f aca="false">Assumptions!$D$14*(1+Assumptions!$F$14)^(BH5-1)</f>
        <v>45.0203524</v>
      </c>
      <c r="BI17" s="37" t="n">
        <f aca="false">Assumptions!$D$14*(1+Assumptions!$F$14)^(BI5-1)</f>
        <v>45.0203524</v>
      </c>
      <c r="BJ17" s="37" t="n">
        <f aca="false">Assumptions!$D$14*(1+Assumptions!$F$14)^(BJ5-1)</f>
        <v>45.0203524</v>
      </c>
      <c r="BK17" s="38" t="n">
        <f aca="false">IF(BK16=0,0,BK18/BK16)</f>
        <v>40</v>
      </c>
      <c r="BL17" s="38" t="n">
        <f aca="false">IF(BL16=0,0,BL18/BL16)</f>
        <v>41.2</v>
      </c>
      <c r="BM17" s="38" t="n">
        <f aca="false">IF(BM16=0,0,BM18/BM16)</f>
        <v>42.436</v>
      </c>
      <c r="BN17" s="38" t="n">
        <f aca="false">IF(BN16=0,0,BN18/BN16)</f>
        <v>43.70908</v>
      </c>
      <c r="BO17" s="38" t="n">
        <f aca="false">IF(BO16=0,0,BO18/BO16)</f>
        <v>45.0203524</v>
      </c>
    </row>
    <row r="18" customFormat="false" ht="15" hidden="false" customHeight="false" outlineLevel="0" collapsed="false">
      <c r="A18" s="39" t="s">
        <v>57</v>
      </c>
      <c r="B18" s="40"/>
      <c r="C18" s="41" t="n">
        <f aca="false">C16*C17</f>
        <v>2700</v>
      </c>
      <c r="D18" s="41" t="n">
        <f aca="false">D16*D17</f>
        <v>3240</v>
      </c>
      <c r="E18" s="41" t="n">
        <f aca="false">E16*E17</f>
        <v>4200</v>
      </c>
      <c r="F18" s="41" t="n">
        <f aca="false">F16*F17</f>
        <v>5040</v>
      </c>
      <c r="G18" s="41" t="n">
        <f aca="false">G16*G17</f>
        <v>5940</v>
      </c>
      <c r="H18" s="41" t="n">
        <f aca="false">H16*H17</f>
        <v>6600</v>
      </c>
      <c r="I18" s="41" t="n">
        <f aca="false">I16*I17</f>
        <v>6300</v>
      </c>
      <c r="J18" s="41" t="n">
        <f aca="false">J16*J17</f>
        <v>6000</v>
      </c>
      <c r="K18" s="41" t="n">
        <f aca="false">K16*K17</f>
        <v>6000</v>
      </c>
      <c r="L18" s="41" t="n">
        <f aca="false">L16*L17</f>
        <v>6000</v>
      </c>
      <c r="M18" s="41" t="n">
        <f aca="false">M16*M17</f>
        <v>5700</v>
      </c>
      <c r="N18" s="41" t="n">
        <f aca="false">N16*N17</f>
        <v>5700</v>
      </c>
      <c r="O18" s="41" t="n">
        <f aca="false">O16*O17</f>
        <v>6118.2</v>
      </c>
      <c r="P18" s="41" t="n">
        <f aca="false">P16*P17</f>
        <v>6118.2</v>
      </c>
      <c r="Q18" s="41" t="n">
        <f aca="false">Q16*Q17</f>
        <v>6798</v>
      </c>
      <c r="R18" s="41" t="n">
        <f aca="false">R16*R17</f>
        <v>7137.9</v>
      </c>
      <c r="S18" s="41" t="n">
        <f aca="false">S16*S17</f>
        <v>7477.8</v>
      </c>
      <c r="T18" s="41" t="n">
        <f aca="false">T16*T17</f>
        <v>7477.8</v>
      </c>
      <c r="U18" s="41" t="n">
        <f aca="false">U16*U17</f>
        <v>7137.9</v>
      </c>
      <c r="V18" s="41" t="n">
        <f aca="false">V16*V17</f>
        <v>6798</v>
      </c>
      <c r="W18" s="41" t="n">
        <f aca="false">W16*W17</f>
        <v>6798</v>
      </c>
      <c r="X18" s="41" t="n">
        <f aca="false">X16*X17</f>
        <v>6798</v>
      </c>
      <c r="Y18" s="41" t="n">
        <f aca="false">Y16*Y17</f>
        <v>6458.1</v>
      </c>
      <c r="Z18" s="41" t="n">
        <f aca="false">Z16*Z17</f>
        <v>6458.1</v>
      </c>
      <c r="AA18" s="41" t="n">
        <f aca="false">AA16*AA17</f>
        <v>6931.9206</v>
      </c>
      <c r="AB18" s="41" t="n">
        <f aca="false">AB16*AB17</f>
        <v>6931.9206</v>
      </c>
      <c r="AC18" s="41" t="n">
        <f aca="false">AC16*AC17</f>
        <v>7702.134</v>
      </c>
      <c r="AD18" s="41" t="n">
        <f aca="false">AD16*AD17</f>
        <v>8087.2407</v>
      </c>
      <c r="AE18" s="41" t="n">
        <f aca="false">AE16*AE17</f>
        <v>8472.3474</v>
      </c>
      <c r="AF18" s="41" t="n">
        <f aca="false">AF16*AF17</f>
        <v>8472.3474</v>
      </c>
      <c r="AG18" s="41" t="n">
        <f aca="false">AG16*AG17</f>
        <v>8087.2407</v>
      </c>
      <c r="AH18" s="41" t="n">
        <f aca="false">AH16*AH17</f>
        <v>7702.134</v>
      </c>
      <c r="AI18" s="41" t="n">
        <f aca="false">AI16*AI17</f>
        <v>7702.134</v>
      </c>
      <c r="AJ18" s="41" t="n">
        <f aca="false">AJ16*AJ17</f>
        <v>7702.134</v>
      </c>
      <c r="AK18" s="41" t="n">
        <f aca="false">AK16*AK17</f>
        <v>7317.0273</v>
      </c>
      <c r="AL18" s="41" t="n">
        <f aca="false">AL16*AL17</f>
        <v>7317.0273</v>
      </c>
      <c r="AM18" s="41" t="n">
        <f aca="false">AM16*AM17</f>
        <v>7853.8660398</v>
      </c>
      <c r="AN18" s="41" t="n">
        <f aca="false">AN16*AN17</f>
        <v>7853.8660398</v>
      </c>
      <c r="AO18" s="41" t="n">
        <f aca="false">AO16*AO17</f>
        <v>8726.517822</v>
      </c>
      <c r="AP18" s="41" t="n">
        <f aca="false">AP16*AP17</f>
        <v>9162.8437131</v>
      </c>
      <c r="AQ18" s="41" t="n">
        <f aca="false">AQ16*AQ17</f>
        <v>9599.1696042</v>
      </c>
      <c r="AR18" s="41" t="n">
        <f aca="false">AR16*AR17</f>
        <v>9599.1696042</v>
      </c>
      <c r="AS18" s="41" t="n">
        <f aca="false">AS16*AS17</f>
        <v>9162.8437131</v>
      </c>
      <c r="AT18" s="41" t="n">
        <f aca="false">AT16*AT17</f>
        <v>8726.517822</v>
      </c>
      <c r="AU18" s="41" t="n">
        <f aca="false">AU16*AU17</f>
        <v>8726.517822</v>
      </c>
      <c r="AV18" s="41" t="n">
        <f aca="false">AV16*AV17</f>
        <v>8726.517822</v>
      </c>
      <c r="AW18" s="41" t="n">
        <f aca="false">AW16*AW17</f>
        <v>8290.1919309</v>
      </c>
      <c r="AX18" s="41" t="n">
        <f aca="false">AX16*AX17</f>
        <v>8290.1919309</v>
      </c>
      <c r="AY18" s="41" t="n">
        <f aca="false">AY16*AY17</f>
        <v>8898.4302230934</v>
      </c>
      <c r="AZ18" s="41" t="n">
        <f aca="false">AZ16*AZ17</f>
        <v>8898.4302230934</v>
      </c>
      <c r="BA18" s="41" t="n">
        <f aca="false">BA16*BA17</f>
        <v>9887.14469232601</v>
      </c>
      <c r="BB18" s="41" t="n">
        <f aca="false">BB16*BB17</f>
        <v>10381.5019269423</v>
      </c>
      <c r="BC18" s="41" t="n">
        <f aca="false">BC16*BC17</f>
        <v>10875.8591615586</v>
      </c>
      <c r="BD18" s="41" t="n">
        <f aca="false">BD16*BD17</f>
        <v>10875.8591615586</v>
      </c>
      <c r="BE18" s="41" t="n">
        <f aca="false">BE16*BE17</f>
        <v>10381.5019269423</v>
      </c>
      <c r="BF18" s="41" t="n">
        <f aca="false">BF16*BF17</f>
        <v>9887.14469232601</v>
      </c>
      <c r="BG18" s="41" t="n">
        <f aca="false">BG16*BG17</f>
        <v>9887.14469232601</v>
      </c>
      <c r="BH18" s="41" t="n">
        <f aca="false">BH16*BH17</f>
        <v>9887.14469232601</v>
      </c>
      <c r="BI18" s="41" t="n">
        <f aca="false">BI16*BI17</f>
        <v>9392.78745770971</v>
      </c>
      <c r="BJ18" s="41" t="n">
        <f aca="false">BJ16*BJ17</f>
        <v>9392.78745770971</v>
      </c>
      <c r="BK18" s="42" t="n">
        <f aca="false">SUMIF($C$5:$BJ$5,BK$5,$C18:$BJ18)</f>
        <v>63420</v>
      </c>
      <c r="BL18" s="42" t="n">
        <f aca="false">SUMIF($C$5:$BJ$5,BL$5,$C18:$BJ18)</f>
        <v>81576</v>
      </c>
      <c r="BM18" s="42" t="n">
        <f aca="false">SUMIF($C$5:$BJ$5,BM$5,$C18:$BJ18)</f>
        <v>92425.608</v>
      </c>
      <c r="BN18" s="42" t="n">
        <f aca="false">SUMIF($C$5:$BJ$5,BN$5,$C18:$BJ18)</f>
        <v>104718.213864</v>
      </c>
      <c r="BO18" s="42" t="n">
        <f aca="false">SUMIF($C$5:$BJ$5,BO$5,$C18:$BJ18)</f>
        <v>118645.736307912</v>
      </c>
    </row>
    <row r="19" customFormat="false" ht="15" hidden="false" customHeight="false" outlineLevel="0" collapsed="false">
      <c r="A19" s="33" t="str">
        <f aca="false">"Line 3: "&amp;Assumptions!$B$15</f>
        <v>Line 3: Product line (example)</v>
      </c>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row>
    <row r="20" customFormat="false" ht="15" hidden="false" customHeight="false" outlineLevel="0" collapsed="false">
      <c r="A20" s="18" t="s">
        <v>225</v>
      </c>
      <c r="B20" s="2" t="s">
        <v>226</v>
      </c>
      <c r="C20" s="35" t="n">
        <f aca="false">Assumptions!$C$15*C8*C9*(1+Assumptions!$E$15)^(C5-1)</f>
        <v>157.5</v>
      </c>
      <c r="D20" s="35" t="n">
        <f aca="false">Assumptions!$C$15*D8*D9*(1+Assumptions!$E$15)^(D5-1)</f>
        <v>189</v>
      </c>
      <c r="E20" s="35" t="n">
        <f aca="false">Assumptions!$C$15*E8*E9*(1+Assumptions!$E$15)^(E5-1)</f>
        <v>245</v>
      </c>
      <c r="F20" s="35" t="n">
        <f aca="false">Assumptions!$C$15*F8*F9*(1+Assumptions!$E$15)^(F5-1)</f>
        <v>294</v>
      </c>
      <c r="G20" s="35" t="n">
        <f aca="false">Assumptions!$C$15*G8*G9*(1+Assumptions!$E$15)^(G5-1)</f>
        <v>346.5</v>
      </c>
      <c r="H20" s="35" t="n">
        <f aca="false">Assumptions!$C$15*H8*H9*(1+Assumptions!$E$15)^(H5-1)</f>
        <v>385</v>
      </c>
      <c r="I20" s="35" t="n">
        <f aca="false">Assumptions!$C$15*I8*I9*(1+Assumptions!$E$15)^(I5-1)</f>
        <v>367.5</v>
      </c>
      <c r="J20" s="35" t="n">
        <f aca="false">Assumptions!$C$15*J8*J9*(1+Assumptions!$E$15)^(J5-1)</f>
        <v>350</v>
      </c>
      <c r="K20" s="35" t="n">
        <f aca="false">Assumptions!$C$15*K8*K9*(1+Assumptions!$E$15)^(K5-1)</f>
        <v>350</v>
      </c>
      <c r="L20" s="35" t="n">
        <f aca="false">Assumptions!$C$15*L8*L9*(1+Assumptions!$E$15)^(L5-1)</f>
        <v>350</v>
      </c>
      <c r="M20" s="35" t="n">
        <f aca="false">Assumptions!$C$15*M8*M9*(1+Assumptions!$E$15)^(M5-1)</f>
        <v>332.5</v>
      </c>
      <c r="N20" s="35" t="n">
        <f aca="false">Assumptions!$C$15*N8*N9*(1+Assumptions!$E$15)^(N5-1)</f>
        <v>332.5</v>
      </c>
      <c r="O20" s="35" t="n">
        <f aca="false">Assumptions!$C$15*O8*O9*(1+Assumptions!$E$15)^(O5-1)</f>
        <v>330.75</v>
      </c>
      <c r="P20" s="35" t="n">
        <f aca="false">Assumptions!$C$15*P8*P9*(1+Assumptions!$E$15)^(P5-1)</f>
        <v>330.75</v>
      </c>
      <c r="Q20" s="35" t="n">
        <f aca="false">Assumptions!$C$15*Q8*Q9*(1+Assumptions!$E$15)^(Q5-1)</f>
        <v>367.5</v>
      </c>
      <c r="R20" s="35" t="n">
        <f aca="false">Assumptions!$C$15*R8*R9*(1+Assumptions!$E$15)^(R5-1)</f>
        <v>385.875</v>
      </c>
      <c r="S20" s="35" t="n">
        <f aca="false">Assumptions!$C$15*S8*S9*(1+Assumptions!$E$15)^(S5-1)</f>
        <v>404.25</v>
      </c>
      <c r="T20" s="35" t="n">
        <f aca="false">Assumptions!$C$15*T8*T9*(1+Assumptions!$E$15)^(T5-1)</f>
        <v>404.25</v>
      </c>
      <c r="U20" s="35" t="n">
        <f aca="false">Assumptions!$C$15*U8*U9*(1+Assumptions!$E$15)^(U5-1)</f>
        <v>385.875</v>
      </c>
      <c r="V20" s="35" t="n">
        <f aca="false">Assumptions!$C$15*V8*V9*(1+Assumptions!$E$15)^(V5-1)</f>
        <v>367.5</v>
      </c>
      <c r="W20" s="35" t="n">
        <f aca="false">Assumptions!$C$15*W8*W9*(1+Assumptions!$E$15)^(W5-1)</f>
        <v>367.5</v>
      </c>
      <c r="X20" s="35" t="n">
        <f aca="false">Assumptions!$C$15*X8*X9*(1+Assumptions!$E$15)^(X5-1)</f>
        <v>367.5</v>
      </c>
      <c r="Y20" s="35" t="n">
        <f aca="false">Assumptions!$C$15*Y8*Y9*(1+Assumptions!$E$15)^(Y5-1)</f>
        <v>349.125</v>
      </c>
      <c r="Z20" s="35" t="n">
        <f aca="false">Assumptions!$C$15*Z8*Z9*(1+Assumptions!$E$15)^(Z5-1)</f>
        <v>349.125</v>
      </c>
      <c r="AA20" s="35" t="n">
        <f aca="false">Assumptions!$C$15*AA8*AA9*(1+Assumptions!$E$15)^(AA5-1)</f>
        <v>347.2875</v>
      </c>
      <c r="AB20" s="35" t="n">
        <f aca="false">Assumptions!$C$15*AB8*AB9*(1+Assumptions!$E$15)^(AB5-1)</f>
        <v>347.2875</v>
      </c>
      <c r="AC20" s="35" t="n">
        <f aca="false">Assumptions!$C$15*AC8*AC9*(1+Assumptions!$E$15)^(AC5-1)</f>
        <v>385.875</v>
      </c>
      <c r="AD20" s="35" t="n">
        <f aca="false">Assumptions!$C$15*AD8*AD9*(1+Assumptions!$E$15)^(AD5-1)</f>
        <v>405.16875</v>
      </c>
      <c r="AE20" s="35" t="n">
        <f aca="false">Assumptions!$C$15*AE8*AE9*(1+Assumptions!$E$15)^(AE5-1)</f>
        <v>424.4625</v>
      </c>
      <c r="AF20" s="35" t="n">
        <f aca="false">Assumptions!$C$15*AF8*AF9*(1+Assumptions!$E$15)^(AF5-1)</f>
        <v>424.4625</v>
      </c>
      <c r="AG20" s="35" t="n">
        <f aca="false">Assumptions!$C$15*AG8*AG9*(1+Assumptions!$E$15)^(AG5-1)</f>
        <v>405.16875</v>
      </c>
      <c r="AH20" s="35" t="n">
        <f aca="false">Assumptions!$C$15*AH8*AH9*(1+Assumptions!$E$15)^(AH5-1)</f>
        <v>385.875</v>
      </c>
      <c r="AI20" s="35" t="n">
        <f aca="false">Assumptions!$C$15*AI8*AI9*(1+Assumptions!$E$15)^(AI5-1)</f>
        <v>385.875</v>
      </c>
      <c r="AJ20" s="35" t="n">
        <f aca="false">Assumptions!$C$15*AJ8*AJ9*(1+Assumptions!$E$15)^(AJ5-1)</f>
        <v>385.875</v>
      </c>
      <c r="AK20" s="35" t="n">
        <f aca="false">Assumptions!$C$15*AK8*AK9*(1+Assumptions!$E$15)^(AK5-1)</f>
        <v>366.58125</v>
      </c>
      <c r="AL20" s="35" t="n">
        <f aca="false">Assumptions!$C$15*AL8*AL9*(1+Assumptions!$E$15)^(AL5-1)</f>
        <v>366.58125</v>
      </c>
      <c r="AM20" s="35" t="n">
        <f aca="false">Assumptions!$C$15*AM8*AM9*(1+Assumptions!$E$15)^(AM5-1)</f>
        <v>364.651875</v>
      </c>
      <c r="AN20" s="35" t="n">
        <f aca="false">Assumptions!$C$15*AN8*AN9*(1+Assumptions!$E$15)^(AN5-1)</f>
        <v>364.651875</v>
      </c>
      <c r="AO20" s="35" t="n">
        <f aca="false">Assumptions!$C$15*AO8*AO9*(1+Assumptions!$E$15)^(AO5-1)</f>
        <v>405.16875</v>
      </c>
      <c r="AP20" s="35" t="n">
        <f aca="false">Assumptions!$C$15*AP8*AP9*(1+Assumptions!$E$15)^(AP5-1)</f>
        <v>425.4271875</v>
      </c>
      <c r="AQ20" s="35" t="n">
        <f aca="false">Assumptions!$C$15*AQ8*AQ9*(1+Assumptions!$E$15)^(AQ5-1)</f>
        <v>445.685625</v>
      </c>
      <c r="AR20" s="35" t="n">
        <f aca="false">Assumptions!$C$15*AR8*AR9*(1+Assumptions!$E$15)^(AR5-1)</f>
        <v>445.685625</v>
      </c>
      <c r="AS20" s="35" t="n">
        <f aca="false">Assumptions!$C$15*AS8*AS9*(1+Assumptions!$E$15)^(AS5-1)</f>
        <v>425.4271875</v>
      </c>
      <c r="AT20" s="35" t="n">
        <f aca="false">Assumptions!$C$15*AT8*AT9*(1+Assumptions!$E$15)^(AT5-1)</f>
        <v>405.16875</v>
      </c>
      <c r="AU20" s="35" t="n">
        <f aca="false">Assumptions!$C$15*AU8*AU9*(1+Assumptions!$E$15)^(AU5-1)</f>
        <v>405.16875</v>
      </c>
      <c r="AV20" s="35" t="n">
        <f aca="false">Assumptions!$C$15*AV8*AV9*(1+Assumptions!$E$15)^(AV5-1)</f>
        <v>405.16875</v>
      </c>
      <c r="AW20" s="35" t="n">
        <f aca="false">Assumptions!$C$15*AW8*AW9*(1+Assumptions!$E$15)^(AW5-1)</f>
        <v>384.9103125</v>
      </c>
      <c r="AX20" s="35" t="n">
        <f aca="false">Assumptions!$C$15*AX8*AX9*(1+Assumptions!$E$15)^(AX5-1)</f>
        <v>384.9103125</v>
      </c>
      <c r="AY20" s="35" t="n">
        <f aca="false">Assumptions!$C$15*AY8*AY9*(1+Assumptions!$E$15)^(AY5-1)</f>
        <v>382.88446875</v>
      </c>
      <c r="AZ20" s="35" t="n">
        <f aca="false">Assumptions!$C$15*AZ8*AZ9*(1+Assumptions!$E$15)^(AZ5-1)</f>
        <v>382.88446875</v>
      </c>
      <c r="BA20" s="35" t="n">
        <f aca="false">Assumptions!$C$15*BA8*BA9*(1+Assumptions!$E$15)^(BA5-1)</f>
        <v>425.4271875</v>
      </c>
      <c r="BB20" s="35" t="n">
        <f aca="false">Assumptions!$C$15*BB8*BB9*(1+Assumptions!$E$15)^(BB5-1)</f>
        <v>446.698546875</v>
      </c>
      <c r="BC20" s="35" t="n">
        <f aca="false">Assumptions!$C$15*BC8*BC9*(1+Assumptions!$E$15)^(BC5-1)</f>
        <v>467.96990625</v>
      </c>
      <c r="BD20" s="35" t="n">
        <f aca="false">Assumptions!$C$15*BD8*BD9*(1+Assumptions!$E$15)^(BD5-1)</f>
        <v>467.96990625</v>
      </c>
      <c r="BE20" s="35" t="n">
        <f aca="false">Assumptions!$C$15*BE8*BE9*(1+Assumptions!$E$15)^(BE5-1)</f>
        <v>446.698546875</v>
      </c>
      <c r="BF20" s="35" t="n">
        <f aca="false">Assumptions!$C$15*BF8*BF9*(1+Assumptions!$E$15)^(BF5-1)</f>
        <v>425.4271875</v>
      </c>
      <c r="BG20" s="35" t="n">
        <f aca="false">Assumptions!$C$15*BG8*BG9*(1+Assumptions!$E$15)^(BG5-1)</f>
        <v>425.4271875</v>
      </c>
      <c r="BH20" s="35" t="n">
        <f aca="false">Assumptions!$C$15*BH8*BH9*(1+Assumptions!$E$15)^(BH5-1)</f>
        <v>425.4271875</v>
      </c>
      <c r="BI20" s="35" t="n">
        <f aca="false">Assumptions!$C$15*BI8*BI9*(1+Assumptions!$E$15)^(BI5-1)</f>
        <v>404.155828125</v>
      </c>
      <c r="BJ20" s="35" t="n">
        <f aca="false">Assumptions!$C$15*BJ8*BJ9*(1+Assumptions!$E$15)^(BJ5-1)</f>
        <v>404.155828125</v>
      </c>
      <c r="BK20" s="36" t="n">
        <f aca="false">SUMIF($C$5:$BJ$5,BK$5,$C20:$BJ20)</f>
        <v>3699.5</v>
      </c>
      <c r="BL20" s="36" t="n">
        <f aca="false">SUMIF($C$5:$BJ$5,BL$5,$C20:$BJ20)</f>
        <v>4410</v>
      </c>
      <c r="BM20" s="36" t="n">
        <f aca="false">SUMIF($C$5:$BJ$5,BM$5,$C20:$BJ20)</f>
        <v>4630.5</v>
      </c>
      <c r="BN20" s="36" t="n">
        <f aca="false">SUMIF($C$5:$BJ$5,BN$5,$C20:$BJ20)</f>
        <v>4862.025</v>
      </c>
      <c r="BO20" s="36" t="n">
        <f aca="false">SUMIF($C$5:$BJ$5,BO$5,$C20:$BJ20)</f>
        <v>5105.12625</v>
      </c>
    </row>
    <row r="21" customFormat="false" ht="15" hidden="false" customHeight="false" outlineLevel="0" collapsed="false">
      <c r="A21" s="18" t="s">
        <v>227</v>
      </c>
      <c r="B21" s="2" t="s">
        <v>228</v>
      </c>
      <c r="C21" s="37" t="n">
        <f aca="false">Assumptions!$D$15*(1+Assumptions!$F$15)^(C5-1)</f>
        <v>30</v>
      </c>
      <c r="D21" s="37" t="n">
        <f aca="false">Assumptions!$D$15*(1+Assumptions!$F$15)^(D5-1)</f>
        <v>30</v>
      </c>
      <c r="E21" s="37" t="n">
        <f aca="false">Assumptions!$D$15*(1+Assumptions!$F$15)^(E5-1)</f>
        <v>30</v>
      </c>
      <c r="F21" s="37" t="n">
        <f aca="false">Assumptions!$D$15*(1+Assumptions!$F$15)^(F5-1)</f>
        <v>30</v>
      </c>
      <c r="G21" s="37" t="n">
        <f aca="false">Assumptions!$D$15*(1+Assumptions!$F$15)^(G5-1)</f>
        <v>30</v>
      </c>
      <c r="H21" s="37" t="n">
        <f aca="false">Assumptions!$D$15*(1+Assumptions!$F$15)^(H5-1)</f>
        <v>30</v>
      </c>
      <c r="I21" s="37" t="n">
        <f aca="false">Assumptions!$D$15*(1+Assumptions!$F$15)^(I5-1)</f>
        <v>30</v>
      </c>
      <c r="J21" s="37" t="n">
        <f aca="false">Assumptions!$D$15*(1+Assumptions!$F$15)^(J5-1)</f>
        <v>30</v>
      </c>
      <c r="K21" s="37" t="n">
        <f aca="false">Assumptions!$D$15*(1+Assumptions!$F$15)^(K5-1)</f>
        <v>30</v>
      </c>
      <c r="L21" s="37" t="n">
        <f aca="false">Assumptions!$D$15*(1+Assumptions!$F$15)^(L5-1)</f>
        <v>30</v>
      </c>
      <c r="M21" s="37" t="n">
        <f aca="false">Assumptions!$D$15*(1+Assumptions!$F$15)^(M5-1)</f>
        <v>30</v>
      </c>
      <c r="N21" s="37" t="n">
        <f aca="false">Assumptions!$D$15*(1+Assumptions!$F$15)^(N5-1)</f>
        <v>30</v>
      </c>
      <c r="O21" s="37" t="n">
        <f aca="false">Assumptions!$D$15*(1+Assumptions!$F$15)^(O5-1)</f>
        <v>30.6</v>
      </c>
      <c r="P21" s="37" t="n">
        <f aca="false">Assumptions!$D$15*(1+Assumptions!$F$15)^(P5-1)</f>
        <v>30.6</v>
      </c>
      <c r="Q21" s="37" t="n">
        <f aca="false">Assumptions!$D$15*(1+Assumptions!$F$15)^(Q5-1)</f>
        <v>30.6</v>
      </c>
      <c r="R21" s="37" t="n">
        <f aca="false">Assumptions!$D$15*(1+Assumptions!$F$15)^(R5-1)</f>
        <v>30.6</v>
      </c>
      <c r="S21" s="37" t="n">
        <f aca="false">Assumptions!$D$15*(1+Assumptions!$F$15)^(S5-1)</f>
        <v>30.6</v>
      </c>
      <c r="T21" s="37" t="n">
        <f aca="false">Assumptions!$D$15*(1+Assumptions!$F$15)^(T5-1)</f>
        <v>30.6</v>
      </c>
      <c r="U21" s="37" t="n">
        <f aca="false">Assumptions!$D$15*(1+Assumptions!$F$15)^(U5-1)</f>
        <v>30.6</v>
      </c>
      <c r="V21" s="37" t="n">
        <f aca="false">Assumptions!$D$15*(1+Assumptions!$F$15)^(V5-1)</f>
        <v>30.6</v>
      </c>
      <c r="W21" s="37" t="n">
        <f aca="false">Assumptions!$D$15*(1+Assumptions!$F$15)^(W5-1)</f>
        <v>30.6</v>
      </c>
      <c r="X21" s="37" t="n">
        <f aca="false">Assumptions!$D$15*(1+Assumptions!$F$15)^(X5-1)</f>
        <v>30.6</v>
      </c>
      <c r="Y21" s="37" t="n">
        <f aca="false">Assumptions!$D$15*(1+Assumptions!$F$15)^(Y5-1)</f>
        <v>30.6</v>
      </c>
      <c r="Z21" s="37" t="n">
        <f aca="false">Assumptions!$D$15*(1+Assumptions!$F$15)^(Z5-1)</f>
        <v>30.6</v>
      </c>
      <c r="AA21" s="37" t="n">
        <f aca="false">Assumptions!$D$15*(1+Assumptions!$F$15)^(AA5-1)</f>
        <v>31.212</v>
      </c>
      <c r="AB21" s="37" t="n">
        <f aca="false">Assumptions!$D$15*(1+Assumptions!$F$15)^(AB5-1)</f>
        <v>31.212</v>
      </c>
      <c r="AC21" s="37" t="n">
        <f aca="false">Assumptions!$D$15*(1+Assumptions!$F$15)^(AC5-1)</f>
        <v>31.212</v>
      </c>
      <c r="AD21" s="37" t="n">
        <f aca="false">Assumptions!$D$15*(1+Assumptions!$F$15)^(AD5-1)</f>
        <v>31.212</v>
      </c>
      <c r="AE21" s="37" t="n">
        <f aca="false">Assumptions!$D$15*(1+Assumptions!$F$15)^(AE5-1)</f>
        <v>31.212</v>
      </c>
      <c r="AF21" s="37" t="n">
        <f aca="false">Assumptions!$D$15*(1+Assumptions!$F$15)^(AF5-1)</f>
        <v>31.212</v>
      </c>
      <c r="AG21" s="37" t="n">
        <f aca="false">Assumptions!$D$15*(1+Assumptions!$F$15)^(AG5-1)</f>
        <v>31.212</v>
      </c>
      <c r="AH21" s="37" t="n">
        <f aca="false">Assumptions!$D$15*(1+Assumptions!$F$15)^(AH5-1)</f>
        <v>31.212</v>
      </c>
      <c r="AI21" s="37" t="n">
        <f aca="false">Assumptions!$D$15*(1+Assumptions!$F$15)^(AI5-1)</f>
        <v>31.212</v>
      </c>
      <c r="AJ21" s="37" t="n">
        <f aca="false">Assumptions!$D$15*(1+Assumptions!$F$15)^(AJ5-1)</f>
        <v>31.212</v>
      </c>
      <c r="AK21" s="37" t="n">
        <f aca="false">Assumptions!$D$15*(1+Assumptions!$F$15)^(AK5-1)</f>
        <v>31.212</v>
      </c>
      <c r="AL21" s="37" t="n">
        <f aca="false">Assumptions!$D$15*(1+Assumptions!$F$15)^(AL5-1)</f>
        <v>31.212</v>
      </c>
      <c r="AM21" s="37" t="n">
        <f aca="false">Assumptions!$D$15*(1+Assumptions!$F$15)^(AM5-1)</f>
        <v>31.83624</v>
      </c>
      <c r="AN21" s="37" t="n">
        <f aca="false">Assumptions!$D$15*(1+Assumptions!$F$15)^(AN5-1)</f>
        <v>31.83624</v>
      </c>
      <c r="AO21" s="37" t="n">
        <f aca="false">Assumptions!$D$15*(1+Assumptions!$F$15)^(AO5-1)</f>
        <v>31.83624</v>
      </c>
      <c r="AP21" s="37" t="n">
        <f aca="false">Assumptions!$D$15*(1+Assumptions!$F$15)^(AP5-1)</f>
        <v>31.83624</v>
      </c>
      <c r="AQ21" s="37" t="n">
        <f aca="false">Assumptions!$D$15*(1+Assumptions!$F$15)^(AQ5-1)</f>
        <v>31.83624</v>
      </c>
      <c r="AR21" s="37" t="n">
        <f aca="false">Assumptions!$D$15*(1+Assumptions!$F$15)^(AR5-1)</f>
        <v>31.83624</v>
      </c>
      <c r="AS21" s="37" t="n">
        <f aca="false">Assumptions!$D$15*(1+Assumptions!$F$15)^(AS5-1)</f>
        <v>31.83624</v>
      </c>
      <c r="AT21" s="37" t="n">
        <f aca="false">Assumptions!$D$15*(1+Assumptions!$F$15)^(AT5-1)</f>
        <v>31.83624</v>
      </c>
      <c r="AU21" s="37" t="n">
        <f aca="false">Assumptions!$D$15*(1+Assumptions!$F$15)^(AU5-1)</f>
        <v>31.83624</v>
      </c>
      <c r="AV21" s="37" t="n">
        <f aca="false">Assumptions!$D$15*(1+Assumptions!$F$15)^(AV5-1)</f>
        <v>31.83624</v>
      </c>
      <c r="AW21" s="37" t="n">
        <f aca="false">Assumptions!$D$15*(1+Assumptions!$F$15)^(AW5-1)</f>
        <v>31.83624</v>
      </c>
      <c r="AX21" s="37" t="n">
        <f aca="false">Assumptions!$D$15*(1+Assumptions!$F$15)^(AX5-1)</f>
        <v>31.83624</v>
      </c>
      <c r="AY21" s="37" t="n">
        <f aca="false">Assumptions!$D$15*(1+Assumptions!$F$15)^(AY5-1)</f>
        <v>32.4729648</v>
      </c>
      <c r="AZ21" s="37" t="n">
        <f aca="false">Assumptions!$D$15*(1+Assumptions!$F$15)^(AZ5-1)</f>
        <v>32.4729648</v>
      </c>
      <c r="BA21" s="37" t="n">
        <f aca="false">Assumptions!$D$15*(1+Assumptions!$F$15)^(BA5-1)</f>
        <v>32.4729648</v>
      </c>
      <c r="BB21" s="37" t="n">
        <f aca="false">Assumptions!$D$15*(1+Assumptions!$F$15)^(BB5-1)</f>
        <v>32.4729648</v>
      </c>
      <c r="BC21" s="37" t="n">
        <f aca="false">Assumptions!$D$15*(1+Assumptions!$F$15)^(BC5-1)</f>
        <v>32.4729648</v>
      </c>
      <c r="BD21" s="37" t="n">
        <f aca="false">Assumptions!$D$15*(1+Assumptions!$F$15)^(BD5-1)</f>
        <v>32.4729648</v>
      </c>
      <c r="BE21" s="37" t="n">
        <f aca="false">Assumptions!$D$15*(1+Assumptions!$F$15)^(BE5-1)</f>
        <v>32.4729648</v>
      </c>
      <c r="BF21" s="37" t="n">
        <f aca="false">Assumptions!$D$15*(1+Assumptions!$F$15)^(BF5-1)</f>
        <v>32.4729648</v>
      </c>
      <c r="BG21" s="37" t="n">
        <f aca="false">Assumptions!$D$15*(1+Assumptions!$F$15)^(BG5-1)</f>
        <v>32.4729648</v>
      </c>
      <c r="BH21" s="37" t="n">
        <f aca="false">Assumptions!$D$15*(1+Assumptions!$F$15)^(BH5-1)</f>
        <v>32.4729648</v>
      </c>
      <c r="BI21" s="37" t="n">
        <f aca="false">Assumptions!$D$15*(1+Assumptions!$F$15)^(BI5-1)</f>
        <v>32.4729648</v>
      </c>
      <c r="BJ21" s="37" t="n">
        <f aca="false">Assumptions!$D$15*(1+Assumptions!$F$15)^(BJ5-1)</f>
        <v>32.4729648</v>
      </c>
      <c r="BK21" s="38" t="n">
        <f aca="false">IF(BK20=0,0,BK22/BK20)</f>
        <v>30</v>
      </c>
      <c r="BL21" s="38" t="n">
        <f aca="false">IF(BL20=0,0,BL22/BL20)</f>
        <v>30.6</v>
      </c>
      <c r="BM21" s="38" t="n">
        <f aca="false">IF(BM20=0,0,BM22/BM20)</f>
        <v>31.212</v>
      </c>
      <c r="BN21" s="38" t="n">
        <f aca="false">IF(BN20=0,0,BN22/BN20)</f>
        <v>31.83624</v>
      </c>
      <c r="BO21" s="38" t="n">
        <f aca="false">IF(BO20=0,0,BO22/BO20)</f>
        <v>32.4729648</v>
      </c>
    </row>
    <row r="22" customFormat="false" ht="15" hidden="false" customHeight="false" outlineLevel="0" collapsed="false">
      <c r="A22" s="39" t="s">
        <v>57</v>
      </c>
      <c r="B22" s="40"/>
      <c r="C22" s="41" t="n">
        <f aca="false">C20*C21</f>
        <v>4725</v>
      </c>
      <c r="D22" s="41" t="n">
        <f aca="false">D20*D21</f>
        <v>5670</v>
      </c>
      <c r="E22" s="41" t="n">
        <f aca="false">E20*E21</f>
        <v>7350</v>
      </c>
      <c r="F22" s="41" t="n">
        <f aca="false">F20*F21</f>
        <v>8820</v>
      </c>
      <c r="G22" s="41" t="n">
        <f aca="false">G20*G21</f>
        <v>10395</v>
      </c>
      <c r="H22" s="41" t="n">
        <f aca="false">H20*H21</f>
        <v>11550</v>
      </c>
      <c r="I22" s="41" t="n">
        <f aca="false">I20*I21</f>
        <v>11025</v>
      </c>
      <c r="J22" s="41" t="n">
        <f aca="false">J20*J21</f>
        <v>10500</v>
      </c>
      <c r="K22" s="41" t="n">
        <f aca="false">K20*K21</f>
        <v>10500</v>
      </c>
      <c r="L22" s="41" t="n">
        <f aca="false">L20*L21</f>
        <v>10500</v>
      </c>
      <c r="M22" s="41" t="n">
        <f aca="false">M20*M21</f>
        <v>9975</v>
      </c>
      <c r="N22" s="41" t="n">
        <f aca="false">N20*N21</f>
        <v>9975</v>
      </c>
      <c r="O22" s="41" t="n">
        <f aca="false">O20*O21</f>
        <v>10120.95</v>
      </c>
      <c r="P22" s="41" t="n">
        <f aca="false">P20*P21</f>
        <v>10120.95</v>
      </c>
      <c r="Q22" s="41" t="n">
        <f aca="false">Q20*Q21</f>
        <v>11245.5</v>
      </c>
      <c r="R22" s="41" t="n">
        <f aca="false">R20*R21</f>
        <v>11807.775</v>
      </c>
      <c r="S22" s="41" t="n">
        <f aca="false">S20*S21</f>
        <v>12370.05</v>
      </c>
      <c r="T22" s="41" t="n">
        <f aca="false">T20*T21</f>
        <v>12370.05</v>
      </c>
      <c r="U22" s="41" t="n">
        <f aca="false">U20*U21</f>
        <v>11807.775</v>
      </c>
      <c r="V22" s="41" t="n">
        <f aca="false">V20*V21</f>
        <v>11245.5</v>
      </c>
      <c r="W22" s="41" t="n">
        <f aca="false">W20*W21</f>
        <v>11245.5</v>
      </c>
      <c r="X22" s="41" t="n">
        <f aca="false">X20*X21</f>
        <v>11245.5</v>
      </c>
      <c r="Y22" s="41" t="n">
        <f aca="false">Y20*Y21</f>
        <v>10683.225</v>
      </c>
      <c r="Z22" s="41" t="n">
        <f aca="false">Z20*Z21</f>
        <v>10683.225</v>
      </c>
      <c r="AA22" s="41" t="n">
        <f aca="false">AA20*AA21</f>
        <v>10839.53745</v>
      </c>
      <c r="AB22" s="41" t="n">
        <f aca="false">AB20*AB21</f>
        <v>10839.53745</v>
      </c>
      <c r="AC22" s="41" t="n">
        <f aca="false">AC20*AC21</f>
        <v>12043.9305</v>
      </c>
      <c r="AD22" s="41" t="n">
        <f aca="false">AD20*AD21</f>
        <v>12646.127025</v>
      </c>
      <c r="AE22" s="41" t="n">
        <f aca="false">AE20*AE21</f>
        <v>13248.32355</v>
      </c>
      <c r="AF22" s="41" t="n">
        <f aca="false">AF20*AF21</f>
        <v>13248.32355</v>
      </c>
      <c r="AG22" s="41" t="n">
        <f aca="false">AG20*AG21</f>
        <v>12646.127025</v>
      </c>
      <c r="AH22" s="41" t="n">
        <f aca="false">AH20*AH21</f>
        <v>12043.9305</v>
      </c>
      <c r="AI22" s="41" t="n">
        <f aca="false">AI20*AI21</f>
        <v>12043.9305</v>
      </c>
      <c r="AJ22" s="41" t="n">
        <f aca="false">AJ20*AJ21</f>
        <v>12043.9305</v>
      </c>
      <c r="AK22" s="41" t="n">
        <f aca="false">AK20*AK21</f>
        <v>11441.733975</v>
      </c>
      <c r="AL22" s="41" t="n">
        <f aca="false">AL20*AL21</f>
        <v>11441.733975</v>
      </c>
      <c r="AM22" s="41" t="n">
        <f aca="false">AM20*AM21</f>
        <v>11609.14460895</v>
      </c>
      <c r="AN22" s="41" t="n">
        <f aca="false">AN20*AN21</f>
        <v>11609.14460895</v>
      </c>
      <c r="AO22" s="41" t="n">
        <f aca="false">AO20*AO21</f>
        <v>12899.0495655</v>
      </c>
      <c r="AP22" s="41" t="n">
        <f aca="false">AP20*AP21</f>
        <v>13544.002043775</v>
      </c>
      <c r="AQ22" s="41" t="n">
        <f aca="false">AQ20*AQ21</f>
        <v>14188.95452205</v>
      </c>
      <c r="AR22" s="41" t="n">
        <f aca="false">AR20*AR21</f>
        <v>14188.95452205</v>
      </c>
      <c r="AS22" s="41" t="n">
        <f aca="false">AS20*AS21</f>
        <v>13544.002043775</v>
      </c>
      <c r="AT22" s="41" t="n">
        <f aca="false">AT20*AT21</f>
        <v>12899.0495655</v>
      </c>
      <c r="AU22" s="41" t="n">
        <f aca="false">AU20*AU21</f>
        <v>12899.0495655</v>
      </c>
      <c r="AV22" s="41" t="n">
        <f aca="false">AV20*AV21</f>
        <v>12899.0495655</v>
      </c>
      <c r="AW22" s="41" t="n">
        <f aca="false">AW20*AW21</f>
        <v>12254.097087225</v>
      </c>
      <c r="AX22" s="41" t="n">
        <f aca="false">AX20*AX21</f>
        <v>12254.097087225</v>
      </c>
      <c r="AY22" s="41" t="n">
        <f aca="false">AY20*AY21</f>
        <v>12433.3938761855</v>
      </c>
      <c r="AZ22" s="41" t="n">
        <f aca="false">AZ20*AZ21</f>
        <v>12433.3938761855</v>
      </c>
      <c r="BA22" s="41" t="n">
        <f aca="false">BA20*BA21</f>
        <v>13814.8820846505</v>
      </c>
      <c r="BB22" s="41" t="n">
        <f aca="false">BB20*BB21</f>
        <v>14505.626188883</v>
      </c>
      <c r="BC22" s="41" t="n">
        <f aca="false">BC20*BC21</f>
        <v>15196.3702931156</v>
      </c>
      <c r="BD22" s="41" t="n">
        <f aca="false">BD20*BD21</f>
        <v>15196.3702931156</v>
      </c>
      <c r="BE22" s="41" t="n">
        <f aca="false">BE20*BE21</f>
        <v>14505.626188883</v>
      </c>
      <c r="BF22" s="41" t="n">
        <f aca="false">BF20*BF21</f>
        <v>13814.8820846505</v>
      </c>
      <c r="BG22" s="41" t="n">
        <f aca="false">BG20*BG21</f>
        <v>13814.8820846505</v>
      </c>
      <c r="BH22" s="41" t="n">
        <f aca="false">BH20*BH21</f>
        <v>13814.8820846505</v>
      </c>
      <c r="BI22" s="41" t="n">
        <f aca="false">BI20*BI21</f>
        <v>13124.137980418</v>
      </c>
      <c r="BJ22" s="41" t="n">
        <f aca="false">BJ20*BJ21</f>
        <v>13124.137980418</v>
      </c>
      <c r="BK22" s="42" t="n">
        <f aca="false">SUMIF($C$5:$BJ$5,BK$5,$C22:$BJ22)</f>
        <v>110985</v>
      </c>
      <c r="BL22" s="42" t="n">
        <f aca="false">SUMIF($C$5:$BJ$5,BL$5,$C22:$BJ22)</f>
        <v>134946</v>
      </c>
      <c r="BM22" s="42" t="n">
        <f aca="false">SUMIF($C$5:$BJ$5,BM$5,$C22:$BJ22)</f>
        <v>144527.166</v>
      </c>
      <c r="BN22" s="42" t="n">
        <f aca="false">SUMIF($C$5:$BJ$5,BN$5,$C22:$BJ22)</f>
        <v>154788.594786</v>
      </c>
      <c r="BO22" s="42" t="n">
        <f aca="false">SUMIF($C$5:$BJ$5,BO$5,$C22:$BJ22)</f>
        <v>165778.585015806</v>
      </c>
    </row>
    <row r="23" customFormat="false" ht="15" hidden="false" customHeight="false" outlineLevel="0" collapsed="false">
      <c r="A23" s="33" t="str">
        <f aca="false">"Line 4: "&amp;Assumptions!$B$16</f>
        <v>Line 4: Revenue line 4 (not used)</v>
      </c>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row>
    <row r="24" customFormat="false" ht="15" hidden="false" customHeight="false" outlineLevel="0" collapsed="false">
      <c r="A24" s="18" t="s">
        <v>225</v>
      </c>
      <c r="B24" s="2" t="s">
        <v>226</v>
      </c>
      <c r="C24" s="35" t="n">
        <f aca="false">Assumptions!$C$16*C8*C9*(1+Assumptions!$E$16)^(C5-1)</f>
        <v>0</v>
      </c>
      <c r="D24" s="35" t="n">
        <f aca="false">Assumptions!$C$16*D8*D9*(1+Assumptions!$E$16)^(D5-1)</f>
        <v>0</v>
      </c>
      <c r="E24" s="35" t="n">
        <f aca="false">Assumptions!$C$16*E8*E9*(1+Assumptions!$E$16)^(E5-1)</f>
        <v>0</v>
      </c>
      <c r="F24" s="35" t="n">
        <f aca="false">Assumptions!$C$16*F8*F9*(1+Assumptions!$E$16)^(F5-1)</f>
        <v>0</v>
      </c>
      <c r="G24" s="35" t="n">
        <f aca="false">Assumptions!$C$16*G8*G9*(1+Assumptions!$E$16)^(G5-1)</f>
        <v>0</v>
      </c>
      <c r="H24" s="35" t="n">
        <f aca="false">Assumptions!$C$16*H8*H9*(1+Assumptions!$E$16)^(H5-1)</f>
        <v>0</v>
      </c>
      <c r="I24" s="35" t="n">
        <f aca="false">Assumptions!$C$16*I8*I9*(1+Assumptions!$E$16)^(I5-1)</f>
        <v>0</v>
      </c>
      <c r="J24" s="35" t="n">
        <f aca="false">Assumptions!$C$16*J8*J9*(1+Assumptions!$E$16)^(J5-1)</f>
        <v>0</v>
      </c>
      <c r="K24" s="35" t="n">
        <f aca="false">Assumptions!$C$16*K8*K9*(1+Assumptions!$E$16)^(K5-1)</f>
        <v>0</v>
      </c>
      <c r="L24" s="35" t="n">
        <f aca="false">Assumptions!$C$16*L8*L9*(1+Assumptions!$E$16)^(L5-1)</f>
        <v>0</v>
      </c>
      <c r="M24" s="35" t="n">
        <f aca="false">Assumptions!$C$16*M8*M9*(1+Assumptions!$E$16)^(M5-1)</f>
        <v>0</v>
      </c>
      <c r="N24" s="35" t="n">
        <f aca="false">Assumptions!$C$16*N8*N9*(1+Assumptions!$E$16)^(N5-1)</f>
        <v>0</v>
      </c>
      <c r="O24" s="35" t="n">
        <f aca="false">Assumptions!$C$16*O8*O9*(1+Assumptions!$E$16)^(O5-1)</f>
        <v>0</v>
      </c>
      <c r="P24" s="35" t="n">
        <f aca="false">Assumptions!$C$16*P8*P9*(1+Assumptions!$E$16)^(P5-1)</f>
        <v>0</v>
      </c>
      <c r="Q24" s="35" t="n">
        <f aca="false">Assumptions!$C$16*Q8*Q9*(1+Assumptions!$E$16)^(Q5-1)</f>
        <v>0</v>
      </c>
      <c r="R24" s="35" t="n">
        <f aca="false">Assumptions!$C$16*R8*R9*(1+Assumptions!$E$16)^(R5-1)</f>
        <v>0</v>
      </c>
      <c r="S24" s="35" t="n">
        <f aca="false">Assumptions!$C$16*S8*S9*(1+Assumptions!$E$16)^(S5-1)</f>
        <v>0</v>
      </c>
      <c r="T24" s="35" t="n">
        <f aca="false">Assumptions!$C$16*T8*T9*(1+Assumptions!$E$16)^(T5-1)</f>
        <v>0</v>
      </c>
      <c r="U24" s="35" t="n">
        <f aca="false">Assumptions!$C$16*U8*U9*(1+Assumptions!$E$16)^(U5-1)</f>
        <v>0</v>
      </c>
      <c r="V24" s="35" t="n">
        <f aca="false">Assumptions!$C$16*V8*V9*(1+Assumptions!$E$16)^(V5-1)</f>
        <v>0</v>
      </c>
      <c r="W24" s="35" t="n">
        <f aca="false">Assumptions!$C$16*W8*W9*(1+Assumptions!$E$16)^(W5-1)</f>
        <v>0</v>
      </c>
      <c r="X24" s="35" t="n">
        <f aca="false">Assumptions!$C$16*X8*X9*(1+Assumptions!$E$16)^(X5-1)</f>
        <v>0</v>
      </c>
      <c r="Y24" s="35" t="n">
        <f aca="false">Assumptions!$C$16*Y8*Y9*(1+Assumptions!$E$16)^(Y5-1)</f>
        <v>0</v>
      </c>
      <c r="Z24" s="35" t="n">
        <f aca="false">Assumptions!$C$16*Z8*Z9*(1+Assumptions!$E$16)^(Z5-1)</f>
        <v>0</v>
      </c>
      <c r="AA24" s="35" t="n">
        <f aca="false">Assumptions!$C$16*AA8*AA9*(1+Assumptions!$E$16)^(AA5-1)</f>
        <v>0</v>
      </c>
      <c r="AB24" s="35" t="n">
        <f aca="false">Assumptions!$C$16*AB8*AB9*(1+Assumptions!$E$16)^(AB5-1)</f>
        <v>0</v>
      </c>
      <c r="AC24" s="35" t="n">
        <f aca="false">Assumptions!$C$16*AC8*AC9*(1+Assumptions!$E$16)^(AC5-1)</f>
        <v>0</v>
      </c>
      <c r="AD24" s="35" t="n">
        <f aca="false">Assumptions!$C$16*AD8*AD9*(1+Assumptions!$E$16)^(AD5-1)</f>
        <v>0</v>
      </c>
      <c r="AE24" s="35" t="n">
        <f aca="false">Assumptions!$C$16*AE8*AE9*(1+Assumptions!$E$16)^(AE5-1)</f>
        <v>0</v>
      </c>
      <c r="AF24" s="35" t="n">
        <f aca="false">Assumptions!$C$16*AF8*AF9*(1+Assumptions!$E$16)^(AF5-1)</f>
        <v>0</v>
      </c>
      <c r="AG24" s="35" t="n">
        <f aca="false">Assumptions!$C$16*AG8*AG9*(1+Assumptions!$E$16)^(AG5-1)</f>
        <v>0</v>
      </c>
      <c r="AH24" s="35" t="n">
        <f aca="false">Assumptions!$C$16*AH8*AH9*(1+Assumptions!$E$16)^(AH5-1)</f>
        <v>0</v>
      </c>
      <c r="AI24" s="35" t="n">
        <f aca="false">Assumptions!$C$16*AI8*AI9*(1+Assumptions!$E$16)^(AI5-1)</f>
        <v>0</v>
      </c>
      <c r="AJ24" s="35" t="n">
        <f aca="false">Assumptions!$C$16*AJ8*AJ9*(1+Assumptions!$E$16)^(AJ5-1)</f>
        <v>0</v>
      </c>
      <c r="AK24" s="35" t="n">
        <f aca="false">Assumptions!$C$16*AK8*AK9*(1+Assumptions!$E$16)^(AK5-1)</f>
        <v>0</v>
      </c>
      <c r="AL24" s="35" t="n">
        <f aca="false">Assumptions!$C$16*AL8*AL9*(1+Assumptions!$E$16)^(AL5-1)</f>
        <v>0</v>
      </c>
      <c r="AM24" s="35" t="n">
        <f aca="false">Assumptions!$C$16*AM8*AM9*(1+Assumptions!$E$16)^(AM5-1)</f>
        <v>0</v>
      </c>
      <c r="AN24" s="35" t="n">
        <f aca="false">Assumptions!$C$16*AN8*AN9*(1+Assumptions!$E$16)^(AN5-1)</f>
        <v>0</v>
      </c>
      <c r="AO24" s="35" t="n">
        <f aca="false">Assumptions!$C$16*AO8*AO9*(1+Assumptions!$E$16)^(AO5-1)</f>
        <v>0</v>
      </c>
      <c r="AP24" s="35" t="n">
        <f aca="false">Assumptions!$C$16*AP8*AP9*(1+Assumptions!$E$16)^(AP5-1)</f>
        <v>0</v>
      </c>
      <c r="AQ24" s="35" t="n">
        <f aca="false">Assumptions!$C$16*AQ8*AQ9*(1+Assumptions!$E$16)^(AQ5-1)</f>
        <v>0</v>
      </c>
      <c r="AR24" s="35" t="n">
        <f aca="false">Assumptions!$C$16*AR8*AR9*(1+Assumptions!$E$16)^(AR5-1)</f>
        <v>0</v>
      </c>
      <c r="AS24" s="35" t="n">
        <f aca="false">Assumptions!$C$16*AS8*AS9*(1+Assumptions!$E$16)^(AS5-1)</f>
        <v>0</v>
      </c>
      <c r="AT24" s="35" t="n">
        <f aca="false">Assumptions!$C$16*AT8*AT9*(1+Assumptions!$E$16)^(AT5-1)</f>
        <v>0</v>
      </c>
      <c r="AU24" s="35" t="n">
        <f aca="false">Assumptions!$C$16*AU8*AU9*(1+Assumptions!$E$16)^(AU5-1)</f>
        <v>0</v>
      </c>
      <c r="AV24" s="35" t="n">
        <f aca="false">Assumptions!$C$16*AV8*AV9*(1+Assumptions!$E$16)^(AV5-1)</f>
        <v>0</v>
      </c>
      <c r="AW24" s="35" t="n">
        <f aca="false">Assumptions!$C$16*AW8*AW9*(1+Assumptions!$E$16)^(AW5-1)</f>
        <v>0</v>
      </c>
      <c r="AX24" s="35" t="n">
        <f aca="false">Assumptions!$C$16*AX8*AX9*(1+Assumptions!$E$16)^(AX5-1)</f>
        <v>0</v>
      </c>
      <c r="AY24" s="35" t="n">
        <f aca="false">Assumptions!$C$16*AY8*AY9*(1+Assumptions!$E$16)^(AY5-1)</f>
        <v>0</v>
      </c>
      <c r="AZ24" s="35" t="n">
        <f aca="false">Assumptions!$C$16*AZ8*AZ9*(1+Assumptions!$E$16)^(AZ5-1)</f>
        <v>0</v>
      </c>
      <c r="BA24" s="35" t="n">
        <f aca="false">Assumptions!$C$16*BA8*BA9*(1+Assumptions!$E$16)^(BA5-1)</f>
        <v>0</v>
      </c>
      <c r="BB24" s="35" t="n">
        <f aca="false">Assumptions!$C$16*BB8*BB9*(1+Assumptions!$E$16)^(BB5-1)</f>
        <v>0</v>
      </c>
      <c r="BC24" s="35" t="n">
        <f aca="false">Assumptions!$C$16*BC8*BC9*(1+Assumptions!$E$16)^(BC5-1)</f>
        <v>0</v>
      </c>
      <c r="BD24" s="35" t="n">
        <f aca="false">Assumptions!$C$16*BD8*BD9*(1+Assumptions!$E$16)^(BD5-1)</f>
        <v>0</v>
      </c>
      <c r="BE24" s="35" t="n">
        <f aca="false">Assumptions!$C$16*BE8*BE9*(1+Assumptions!$E$16)^(BE5-1)</f>
        <v>0</v>
      </c>
      <c r="BF24" s="35" t="n">
        <f aca="false">Assumptions!$C$16*BF8*BF9*(1+Assumptions!$E$16)^(BF5-1)</f>
        <v>0</v>
      </c>
      <c r="BG24" s="35" t="n">
        <f aca="false">Assumptions!$C$16*BG8*BG9*(1+Assumptions!$E$16)^(BG5-1)</f>
        <v>0</v>
      </c>
      <c r="BH24" s="35" t="n">
        <f aca="false">Assumptions!$C$16*BH8*BH9*(1+Assumptions!$E$16)^(BH5-1)</f>
        <v>0</v>
      </c>
      <c r="BI24" s="35" t="n">
        <f aca="false">Assumptions!$C$16*BI8*BI9*(1+Assumptions!$E$16)^(BI5-1)</f>
        <v>0</v>
      </c>
      <c r="BJ24" s="35" t="n">
        <f aca="false">Assumptions!$C$16*BJ8*BJ9*(1+Assumptions!$E$16)^(BJ5-1)</f>
        <v>0</v>
      </c>
      <c r="BK24" s="36" t="n">
        <f aca="false">SUMIF($C$5:$BJ$5,BK$5,$C24:$BJ24)</f>
        <v>0</v>
      </c>
      <c r="BL24" s="36" t="n">
        <f aca="false">SUMIF($C$5:$BJ$5,BL$5,$C24:$BJ24)</f>
        <v>0</v>
      </c>
      <c r="BM24" s="36" t="n">
        <f aca="false">SUMIF($C$5:$BJ$5,BM$5,$C24:$BJ24)</f>
        <v>0</v>
      </c>
      <c r="BN24" s="36" t="n">
        <f aca="false">SUMIF($C$5:$BJ$5,BN$5,$C24:$BJ24)</f>
        <v>0</v>
      </c>
      <c r="BO24" s="36" t="n">
        <f aca="false">SUMIF($C$5:$BJ$5,BO$5,$C24:$BJ24)</f>
        <v>0</v>
      </c>
    </row>
    <row r="25" customFormat="false" ht="15" hidden="false" customHeight="false" outlineLevel="0" collapsed="false">
      <c r="A25" s="18" t="s">
        <v>227</v>
      </c>
      <c r="B25" s="2" t="s">
        <v>228</v>
      </c>
      <c r="C25" s="37" t="n">
        <f aca="false">Assumptions!$D$16*(1+Assumptions!$F$16)^(C5-1)</f>
        <v>0</v>
      </c>
      <c r="D25" s="37" t="n">
        <f aca="false">Assumptions!$D$16*(1+Assumptions!$F$16)^(D5-1)</f>
        <v>0</v>
      </c>
      <c r="E25" s="37" t="n">
        <f aca="false">Assumptions!$D$16*(1+Assumptions!$F$16)^(E5-1)</f>
        <v>0</v>
      </c>
      <c r="F25" s="37" t="n">
        <f aca="false">Assumptions!$D$16*(1+Assumptions!$F$16)^(F5-1)</f>
        <v>0</v>
      </c>
      <c r="G25" s="37" t="n">
        <f aca="false">Assumptions!$D$16*(1+Assumptions!$F$16)^(G5-1)</f>
        <v>0</v>
      </c>
      <c r="H25" s="37" t="n">
        <f aca="false">Assumptions!$D$16*(1+Assumptions!$F$16)^(H5-1)</f>
        <v>0</v>
      </c>
      <c r="I25" s="37" t="n">
        <f aca="false">Assumptions!$D$16*(1+Assumptions!$F$16)^(I5-1)</f>
        <v>0</v>
      </c>
      <c r="J25" s="37" t="n">
        <f aca="false">Assumptions!$D$16*(1+Assumptions!$F$16)^(J5-1)</f>
        <v>0</v>
      </c>
      <c r="K25" s="37" t="n">
        <f aca="false">Assumptions!$D$16*(1+Assumptions!$F$16)^(K5-1)</f>
        <v>0</v>
      </c>
      <c r="L25" s="37" t="n">
        <f aca="false">Assumptions!$D$16*(1+Assumptions!$F$16)^(L5-1)</f>
        <v>0</v>
      </c>
      <c r="M25" s="37" t="n">
        <f aca="false">Assumptions!$D$16*(1+Assumptions!$F$16)^(M5-1)</f>
        <v>0</v>
      </c>
      <c r="N25" s="37" t="n">
        <f aca="false">Assumptions!$D$16*(1+Assumptions!$F$16)^(N5-1)</f>
        <v>0</v>
      </c>
      <c r="O25" s="37" t="n">
        <f aca="false">Assumptions!$D$16*(1+Assumptions!$F$16)^(O5-1)</f>
        <v>0</v>
      </c>
      <c r="P25" s="37" t="n">
        <f aca="false">Assumptions!$D$16*(1+Assumptions!$F$16)^(P5-1)</f>
        <v>0</v>
      </c>
      <c r="Q25" s="37" t="n">
        <f aca="false">Assumptions!$D$16*(1+Assumptions!$F$16)^(Q5-1)</f>
        <v>0</v>
      </c>
      <c r="R25" s="37" t="n">
        <f aca="false">Assumptions!$D$16*(1+Assumptions!$F$16)^(R5-1)</f>
        <v>0</v>
      </c>
      <c r="S25" s="37" t="n">
        <f aca="false">Assumptions!$D$16*(1+Assumptions!$F$16)^(S5-1)</f>
        <v>0</v>
      </c>
      <c r="T25" s="37" t="n">
        <f aca="false">Assumptions!$D$16*(1+Assumptions!$F$16)^(T5-1)</f>
        <v>0</v>
      </c>
      <c r="U25" s="37" t="n">
        <f aca="false">Assumptions!$D$16*(1+Assumptions!$F$16)^(U5-1)</f>
        <v>0</v>
      </c>
      <c r="V25" s="37" t="n">
        <f aca="false">Assumptions!$D$16*(1+Assumptions!$F$16)^(V5-1)</f>
        <v>0</v>
      </c>
      <c r="W25" s="37" t="n">
        <f aca="false">Assumptions!$D$16*(1+Assumptions!$F$16)^(W5-1)</f>
        <v>0</v>
      </c>
      <c r="X25" s="37" t="n">
        <f aca="false">Assumptions!$D$16*(1+Assumptions!$F$16)^(X5-1)</f>
        <v>0</v>
      </c>
      <c r="Y25" s="37" t="n">
        <f aca="false">Assumptions!$D$16*(1+Assumptions!$F$16)^(Y5-1)</f>
        <v>0</v>
      </c>
      <c r="Z25" s="37" t="n">
        <f aca="false">Assumptions!$D$16*(1+Assumptions!$F$16)^(Z5-1)</f>
        <v>0</v>
      </c>
      <c r="AA25" s="37" t="n">
        <f aca="false">Assumptions!$D$16*(1+Assumptions!$F$16)^(AA5-1)</f>
        <v>0</v>
      </c>
      <c r="AB25" s="37" t="n">
        <f aca="false">Assumptions!$D$16*(1+Assumptions!$F$16)^(AB5-1)</f>
        <v>0</v>
      </c>
      <c r="AC25" s="37" t="n">
        <f aca="false">Assumptions!$D$16*(1+Assumptions!$F$16)^(AC5-1)</f>
        <v>0</v>
      </c>
      <c r="AD25" s="37" t="n">
        <f aca="false">Assumptions!$D$16*(1+Assumptions!$F$16)^(AD5-1)</f>
        <v>0</v>
      </c>
      <c r="AE25" s="37" t="n">
        <f aca="false">Assumptions!$D$16*(1+Assumptions!$F$16)^(AE5-1)</f>
        <v>0</v>
      </c>
      <c r="AF25" s="37" t="n">
        <f aca="false">Assumptions!$D$16*(1+Assumptions!$F$16)^(AF5-1)</f>
        <v>0</v>
      </c>
      <c r="AG25" s="37" t="n">
        <f aca="false">Assumptions!$D$16*(1+Assumptions!$F$16)^(AG5-1)</f>
        <v>0</v>
      </c>
      <c r="AH25" s="37" t="n">
        <f aca="false">Assumptions!$D$16*(1+Assumptions!$F$16)^(AH5-1)</f>
        <v>0</v>
      </c>
      <c r="AI25" s="37" t="n">
        <f aca="false">Assumptions!$D$16*(1+Assumptions!$F$16)^(AI5-1)</f>
        <v>0</v>
      </c>
      <c r="AJ25" s="37" t="n">
        <f aca="false">Assumptions!$D$16*(1+Assumptions!$F$16)^(AJ5-1)</f>
        <v>0</v>
      </c>
      <c r="AK25" s="37" t="n">
        <f aca="false">Assumptions!$D$16*(1+Assumptions!$F$16)^(AK5-1)</f>
        <v>0</v>
      </c>
      <c r="AL25" s="37" t="n">
        <f aca="false">Assumptions!$D$16*(1+Assumptions!$F$16)^(AL5-1)</f>
        <v>0</v>
      </c>
      <c r="AM25" s="37" t="n">
        <f aca="false">Assumptions!$D$16*(1+Assumptions!$F$16)^(AM5-1)</f>
        <v>0</v>
      </c>
      <c r="AN25" s="37" t="n">
        <f aca="false">Assumptions!$D$16*(1+Assumptions!$F$16)^(AN5-1)</f>
        <v>0</v>
      </c>
      <c r="AO25" s="37" t="n">
        <f aca="false">Assumptions!$D$16*(1+Assumptions!$F$16)^(AO5-1)</f>
        <v>0</v>
      </c>
      <c r="AP25" s="37" t="n">
        <f aca="false">Assumptions!$D$16*(1+Assumptions!$F$16)^(AP5-1)</f>
        <v>0</v>
      </c>
      <c r="AQ25" s="37" t="n">
        <f aca="false">Assumptions!$D$16*(1+Assumptions!$F$16)^(AQ5-1)</f>
        <v>0</v>
      </c>
      <c r="AR25" s="37" t="n">
        <f aca="false">Assumptions!$D$16*(1+Assumptions!$F$16)^(AR5-1)</f>
        <v>0</v>
      </c>
      <c r="AS25" s="37" t="n">
        <f aca="false">Assumptions!$D$16*(1+Assumptions!$F$16)^(AS5-1)</f>
        <v>0</v>
      </c>
      <c r="AT25" s="37" t="n">
        <f aca="false">Assumptions!$D$16*(1+Assumptions!$F$16)^(AT5-1)</f>
        <v>0</v>
      </c>
      <c r="AU25" s="37" t="n">
        <f aca="false">Assumptions!$D$16*(1+Assumptions!$F$16)^(AU5-1)</f>
        <v>0</v>
      </c>
      <c r="AV25" s="37" t="n">
        <f aca="false">Assumptions!$D$16*(1+Assumptions!$F$16)^(AV5-1)</f>
        <v>0</v>
      </c>
      <c r="AW25" s="37" t="n">
        <f aca="false">Assumptions!$D$16*(1+Assumptions!$F$16)^(AW5-1)</f>
        <v>0</v>
      </c>
      <c r="AX25" s="37" t="n">
        <f aca="false">Assumptions!$D$16*(1+Assumptions!$F$16)^(AX5-1)</f>
        <v>0</v>
      </c>
      <c r="AY25" s="37" t="n">
        <f aca="false">Assumptions!$D$16*(1+Assumptions!$F$16)^(AY5-1)</f>
        <v>0</v>
      </c>
      <c r="AZ25" s="37" t="n">
        <f aca="false">Assumptions!$D$16*(1+Assumptions!$F$16)^(AZ5-1)</f>
        <v>0</v>
      </c>
      <c r="BA25" s="37" t="n">
        <f aca="false">Assumptions!$D$16*(1+Assumptions!$F$16)^(BA5-1)</f>
        <v>0</v>
      </c>
      <c r="BB25" s="37" t="n">
        <f aca="false">Assumptions!$D$16*(1+Assumptions!$F$16)^(BB5-1)</f>
        <v>0</v>
      </c>
      <c r="BC25" s="37" t="n">
        <f aca="false">Assumptions!$D$16*(1+Assumptions!$F$16)^(BC5-1)</f>
        <v>0</v>
      </c>
      <c r="BD25" s="37" t="n">
        <f aca="false">Assumptions!$D$16*(1+Assumptions!$F$16)^(BD5-1)</f>
        <v>0</v>
      </c>
      <c r="BE25" s="37" t="n">
        <f aca="false">Assumptions!$D$16*(1+Assumptions!$F$16)^(BE5-1)</f>
        <v>0</v>
      </c>
      <c r="BF25" s="37" t="n">
        <f aca="false">Assumptions!$D$16*(1+Assumptions!$F$16)^(BF5-1)</f>
        <v>0</v>
      </c>
      <c r="BG25" s="37" t="n">
        <f aca="false">Assumptions!$D$16*(1+Assumptions!$F$16)^(BG5-1)</f>
        <v>0</v>
      </c>
      <c r="BH25" s="37" t="n">
        <f aca="false">Assumptions!$D$16*(1+Assumptions!$F$16)^(BH5-1)</f>
        <v>0</v>
      </c>
      <c r="BI25" s="37" t="n">
        <f aca="false">Assumptions!$D$16*(1+Assumptions!$F$16)^(BI5-1)</f>
        <v>0</v>
      </c>
      <c r="BJ25" s="37" t="n">
        <f aca="false">Assumptions!$D$16*(1+Assumptions!$F$16)^(BJ5-1)</f>
        <v>0</v>
      </c>
      <c r="BK25" s="38" t="n">
        <f aca="false">IF(BK24=0,0,BK26/BK24)</f>
        <v>0</v>
      </c>
      <c r="BL25" s="38" t="n">
        <f aca="false">IF(BL24=0,0,BL26/BL24)</f>
        <v>0</v>
      </c>
      <c r="BM25" s="38" t="n">
        <f aca="false">IF(BM24=0,0,BM26/BM24)</f>
        <v>0</v>
      </c>
      <c r="BN25" s="38" t="n">
        <f aca="false">IF(BN24=0,0,BN26/BN24)</f>
        <v>0</v>
      </c>
      <c r="BO25" s="38" t="n">
        <f aca="false">IF(BO24=0,0,BO26/BO24)</f>
        <v>0</v>
      </c>
    </row>
    <row r="26" customFormat="false" ht="15" hidden="false" customHeight="false" outlineLevel="0" collapsed="false">
      <c r="A26" s="39" t="s">
        <v>57</v>
      </c>
      <c r="B26" s="40"/>
      <c r="C26" s="41" t="n">
        <f aca="false">C24*C25</f>
        <v>0</v>
      </c>
      <c r="D26" s="41" t="n">
        <f aca="false">D24*D25</f>
        <v>0</v>
      </c>
      <c r="E26" s="41" t="n">
        <f aca="false">E24*E25</f>
        <v>0</v>
      </c>
      <c r="F26" s="41" t="n">
        <f aca="false">F24*F25</f>
        <v>0</v>
      </c>
      <c r="G26" s="41" t="n">
        <f aca="false">G24*G25</f>
        <v>0</v>
      </c>
      <c r="H26" s="41" t="n">
        <f aca="false">H24*H25</f>
        <v>0</v>
      </c>
      <c r="I26" s="41" t="n">
        <f aca="false">I24*I25</f>
        <v>0</v>
      </c>
      <c r="J26" s="41" t="n">
        <f aca="false">J24*J25</f>
        <v>0</v>
      </c>
      <c r="K26" s="41" t="n">
        <f aca="false">K24*K25</f>
        <v>0</v>
      </c>
      <c r="L26" s="41" t="n">
        <f aca="false">L24*L25</f>
        <v>0</v>
      </c>
      <c r="M26" s="41" t="n">
        <f aca="false">M24*M25</f>
        <v>0</v>
      </c>
      <c r="N26" s="41" t="n">
        <f aca="false">N24*N25</f>
        <v>0</v>
      </c>
      <c r="O26" s="41" t="n">
        <f aca="false">O24*O25</f>
        <v>0</v>
      </c>
      <c r="P26" s="41" t="n">
        <f aca="false">P24*P25</f>
        <v>0</v>
      </c>
      <c r="Q26" s="41" t="n">
        <f aca="false">Q24*Q25</f>
        <v>0</v>
      </c>
      <c r="R26" s="41" t="n">
        <f aca="false">R24*R25</f>
        <v>0</v>
      </c>
      <c r="S26" s="41" t="n">
        <f aca="false">S24*S25</f>
        <v>0</v>
      </c>
      <c r="T26" s="41" t="n">
        <f aca="false">T24*T25</f>
        <v>0</v>
      </c>
      <c r="U26" s="41" t="n">
        <f aca="false">U24*U25</f>
        <v>0</v>
      </c>
      <c r="V26" s="41" t="n">
        <f aca="false">V24*V25</f>
        <v>0</v>
      </c>
      <c r="W26" s="41" t="n">
        <f aca="false">W24*W25</f>
        <v>0</v>
      </c>
      <c r="X26" s="41" t="n">
        <f aca="false">X24*X25</f>
        <v>0</v>
      </c>
      <c r="Y26" s="41" t="n">
        <f aca="false">Y24*Y25</f>
        <v>0</v>
      </c>
      <c r="Z26" s="41" t="n">
        <f aca="false">Z24*Z25</f>
        <v>0</v>
      </c>
      <c r="AA26" s="41" t="n">
        <f aca="false">AA24*AA25</f>
        <v>0</v>
      </c>
      <c r="AB26" s="41" t="n">
        <f aca="false">AB24*AB25</f>
        <v>0</v>
      </c>
      <c r="AC26" s="41" t="n">
        <f aca="false">AC24*AC25</f>
        <v>0</v>
      </c>
      <c r="AD26" s="41" t="n">
        <f aca="false">AD24*AD25</f>
        <v>0</v>
      </c>
      <c r="AE26" s="41" t="n">
        <f aca="false">AE24*AE25</f>
        <v>0</v>
      </c>
      <c r="AF26" s="41" t="n">
        <f aca="false">AF24*AF25</f>
        <v>0</v>
      </c>
      <c r="AG26" s="41" t="n">
        <f aca="false">AG24*AG25</f>
        <v>0</v>
      </c>
      <c r="AH26" s="41" t="n">
        <f aca="false">AH24*AH25</f>
        <v>0</v>
      </c>
      <c r="AI26" s="41" t="n">
        <f aca="false">AI24*AI25</f>
        <v>0</v>
      </c>
      <c r="AJ26" s="41" t="n">
        <f aca="false">AJ24*AJ25</f>
        <v>0</v>
      </c>
      <c r="AK26" s="41" t="n">
        <f aca="false">AK24*AK25</f>
        <v>0</v>
      </c>
      <c r="AL26" s="41" t="n">
        <f aca="false">AL24*AL25</f>
        <v>0</v>
      </c>
      <c r="AM26" s="41" t="n">
        <f aca="false">AM24*AM25</f>
        <v>0</v>
      </c>
      <c r="AN26" s="41" t="n">
        <f aca="false">AN24*AN25</f>
        <v>0</v>
      </c>
      <c r="AO26" s="41" t="n">
        <f aca="false">AO24*AO25</f>
        <v>0</v>
      </c>
      <c r="AP26" s="41" t="n">
        <f aca="false">AP24*AP25</f>
        <v>0</v>
      </c>
      <c r="AQ26" s="41" t="n">
        <f aca="false">AQ24*AQ25</f>
        <v>0</v>
      </c>
      <c r="AR26" s="41" t="n">
        <f aca="false">AR24*AR25</f>
        <v>0</v>
      </c>
      <c r="AS26" s="41" t="n">
        <f aca="false">AS24*AS25</f>
        <v>0</v>
      </c>
      <c r="AT26" s="41" t="n">
        <f aca="false">AT24*AT25</f>
        <v>0</v>
      </c>
      <c r="AU26" s="41" t="n">
        <f aca="false">AU24*AU25</f>
        <v>0</v>
      </c>
      <c r="AV26" s="41" t="n">
        <f aca="false">AV24*AV25</f>
        <v>0</v>
      </c>
      <c r="AW26" s="41" t="n">
        <f aca="false">AW24*AW25</f>
        <v>0</v>
      </c>
      <c r="AX26" s="41" t="n">
        <f aca="false">AX24*AX25</f>
        <v>0</v>
      </c>
      <c r="AY26" s="41" t="n">
        <f aca="false">AY24*AY25</f>
        <v>0</v>
      </c>
      <c r="AZ26" s="41" t="n">
        <f aca="false">AZ24*AZ25</f>
        <v>0</v>
      </c>
      <c r="BA26" s="41" t="n">
        <f aca="false">BA24*BA25</f>
        <v>0</v>
      </c>
      <c r="BB26" s="41" t="n">
        <f aca="false">BB24*BB25</f>
        <v>0</v>
      </c>
      <c r="BC26" s="41" t="n">
        <f aca="false">BC24*BC25</f>
        <v>0</v>
      </c>
      <c r="BD26" s="41" t="n">
        <f aca="false">BD24*BD25</f>
        <v>0</v>
      </c>
      <c r="BE26" s="41" t="n">
        <f aca="false">BE24*BE25</f>
        <v>0</v>
      </c>
      <c r="BF26" s="41" t="n">
        <f aca="false">BF24*BF25</f>
        <v>0</v>
      </c>
      <c r="BG26" s="41" t="n">
        <f aca="false">BG24*BG25</f>
        <v>0</v>
      </c>
      <c r="BH26" s="41" t="n">
        <f aca="false">BH24*BH25</f>
        <v>0</v>
      </c>
      <c r="BI26" s="41" t="n">
        <f aca="false">BI24*BI25</f>
        <v>0</v>
      </c>
      <c r="BJ26" s="41" t="n">
        <f aca="false">BJ24*BJ25</f>
        <v>0</v>
      </c>
      <c r="BK26" s="42" t="n">
        <f aca="false">SUMIF($C$5:$BJ$5,BK$5,$C26:$BJ26)</f>
        <v>0</v>
      </c>
      <c r="BL26" s="42" t="n">
        <f aca="false">SUMIF($C$5:$BJ$5,BL$5,$C26:$BJ26)</f>
        <v>0</v>
      </c>
      <c r="BM26" s="42" t="n">
        <f aca="false">SUMIF($C$5:$BJ$5,BM$5,$C26:$BJ26)</f>
        <v>0</v>
      </c>
      <c r="BN26" s="42" t="n">
        <f aca="false">SUMIF($C$5:$BJ$5,BN$5,$C26:$BJ26)</f>
        <v>0</v>
      </c>
      <c r="BO26" s="42" t="n">
        <f aca="false">SUMIF($C$5:$BJ$5,BO$5,$C26:$BJ26)</f>
        <v>0</v>
      </c>
    </row>
    <row r="27" customFormat="false" ht="15" hidden="false" customHeight="false" outlineLevel="0" collapsed="false">
      <c r="A27" s="33" t="str">
        <f aca="false">"Line 5: "&amp;Assumptions!$B$17</f>
        <v>Line 5: Revenue line 5 (not used)</v>
      </c>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row>
    <row r="28" customFormat="false" ht="15" hidden="false" customHeight="false" outlineLevel="0" collapsed="false">
      <c r="A28" s="18" t="s">
        <v>225</v>
      </c>
      <c r="B28" s="2" t="s">
        <v>226</v>
      </c>
      <c r="C28" s="35" t="n">
        <f aca="false">Assumptions!$C$17*C8*C9*(1+Assumptions!$E$17)^(C5-1)</f>
        <v>0</v>
      </c>
      <c r="D28" s="35" t="n">
        <f aca="false">Assumptions!$C$17*D8*D9*(1+Assumptions!$E$17)^(D5-1)</f>
        <v>0</v>
      </c>
      <c r="E28" s="35" t="n">
        <f aca="false">Assumptions!$C$17*E8*E9*(1+Assumptions!$E$17)^(E5-1)</f>
        <v>0</v>
      </c>
      <c r="F28" s="35" t="n">
        <f aca="false">Assumptions!$C$17*F8*F9*(1+Assumptions!$E$17)^(F5-1)</f>
        <v>0</v>
      </c>
      <c r="G28" s="35" t="n">
        <f aca="false">Assumptions!$C$17*G8*G9*(1+Assumptions!$E$17)^(G5-1)</f>
        <v>0</v>
      </c>
      <c r="H28" s="35" t="n">
        <f aca="false">Assumptions!$C$17*H8*H9*(1+Assumptions!$E$17)^(H5-1)</f>
        <v>0</v>
      </c>
      <c r="I28" s="35" t="n">
        <f aca="false">Assumptions!$C$17*I8*I9*(1+Assumptions!$E$17)^(I5-1)</f>
        <v>0</v>
      </c>
      <c r="J28" s="35" t="n">
        <f aca="false">Assumptions!$C$17*J8*J9*(1+Assumptions!$E$17)^(J5-1)</f>
        <v>0</v>
      </c>
      <c r="K28" s="35" t="n">
        <f aca="false">Assumptions!$C$17*K8*K9*(1+Assumptions!$E$17)^(K5-1)</f>
        <v>0</v>
      </c>
      <c r="L28" s="35" t="n">
        <f aca="false">Assumptions!$C$17*L8*L9*(1+Assumptions!$E$17)^(L5-1)</f>
        <v>0</v>
      </c>
      <c r="M28" s="35" t="n">
        <f aca="false">Assumptions!$C$17*M8*M9*(1+Assumptions!$E$17)^(M5-1)</f>
        <v>0</v>
      </c>
      <c r="N28" s="35" t="n">
        <f aca="false">Assumptions!$C$17*N8*N9*(1+Assumptions!$E$17)^(N5-1)</f>
        <v>0</v>
      </c>
      <c r="O28" s="35" t="n">
        <f aca="false">Assumptions!$C$17*O8*O9*(1+Assumptions!$E$17)^(O5-1)</f>
        <v>0</v>
      </c>
      <c r="P28" s="35" t="n">
        <f aca="false">Assumptions!$C$17*P8*P9*(1+Assumptions!$E$17)^(P5-1)</f>
        <v>0</v>
      </c>
      <c r="Q28" s="35" t="n">
        <f aca="false">Assumptions!$C$17*Q8*Q9*(1+Assumptions!$E$17)^(Q5-1)</f>
        <v>0</v>
      </c>
      <c r="R28" s="35" t="n">
        <f aca="false">Assumptions!$C$17*R8*R9*(1+Assumptions!$E$17)^(R5-1)</f>
        <v>0</v>
      </c>
      <c r="S28" s="35" t="n">
        <f aca="false">Assumptions!$C$17*S8*S9*(1+Assumptions!$E$17)^(S5-1)</f>
        <v>0</v>
      </c>
      <c r="T28" s="35" t="n">
        <f aca="false">Assumptions!$C$17*T8*T9*(1+Assumptions!$E$17)^(T5-1)</f>
        <v>0</v>
      </c>
      <c r="U28" s="35" t="n">
        <f aca="false">Assumptions!$C$17*U8*U9*(1+Assumptions!$E$17)^(U5-1)</f>
        <v>0</v>
      </c>
      <c r="V28" s="35" t="n">
        <f aca="false">Assumptions!$C$17*V8*V9*(1+Assumptions!$E$17)^(V5-1)</f>
        <v>0</v>
      </c>
      <c r="W28" s="35" t="n">
        <f aca="false">Assumptions!$C$17*W8*W9*(1+Assumptions!$E$17)^(W5-1)</f>
        <v>0</v>
      </c>
      <c r="X28" s="35" t="n">
        <f aca="false">Assumptions!$C$17*X8*X9*(1+Assumptions!$E$17)^(X5-1)</f>
        <v>0</v>
      </c>
      <c r="Y28" s="35" t="n">
        <f aca="false">Assumptions!$C$17*Y8*Y9*(1+Assumptions!$E$17)^(Y5-1)</f>
        <v>0</v>
      </c>
      <c r="Z28" s="35" t="n">
        <f aca="false">Assumptions!$C$17*Z8*Z9*(1+Assumptions!$E$17)^(Z5-1)</f>
        <v>0</v>
      </c>
      <c r="AA28" s="35" t="n">
        <f aca="false">Assumptions!$C$17*AA8*AA9*(1+Assumptions!$E$17)^(AA5-1)</f>
        <v>0</v>
      </c>
      <c r="AB28" s="35" t="n">
        <f aca="false">Assumptions!$C$17*AB8*AB9*(1+Assumptions!$E$17)^(AB5-1)</f>
        <v>0</v>
      </c>
      <c r="AC28" s="35" t="n">
        <f aca="false">Assumptions!$C$17*AC8*AC9*(1+Assumptions!$E$17)^(AC5-1)</f>
        <v>0</v>
      </c>
      <c r="AD28" s="35" t="n">
        <f aca="false">Assumptions!$C$17*AD8*AD9*(1+Assumptions!$E$17)^(AD5-1)</f>
        <v>0</v>
      </c>
      <c r="AE28" s="35" t="n">
        <f aca="false">Assumptions!$C$17*AE8*AE9*(1+Assumptions!$E$17)^(AE5-1)</f>
        <v>0</v>
      </c>
      <c r="AF28" s="35" t="n">
        <f aca="false">Assumptions!$C$17*AF8*AF9*(1+Assumptions!$E$17)^(AF5-1)</f>
        <v>0</v>
      </c>
      <c r="AG28" s="35" t="n">
        <f aca="false">Assumptions!$C$17*AG8*AG9*(1+Assumptions!$E$17)^(AG5-1)</f>
        <v>0</v>
      </c>
      <c r="AH28" s="35" t="n">
        <f aca="false">Assumptions!$C$17*AH8*AH9*(1+Assumptions!$E$17)^(AH5-1)</f>
        <v>0</v>
      </c>
      <c r="AI28" s="35" t="n">
        <f aca="false">Assumptions!$C$17*AI8*AI9*(1+Assumptions!$E$17)^(AI5-1)</f>
        <v>0</v>
      </c>
      <c r="AJ28" s="35" t="n">
        <f aca="false">Assumptions!$C$17*AJ8*AJ9*(1+Assumptions!$E$17)^(AJ5-1)</f>
        <v>0</v>
      </c>
      <c r="AK28" s="35" t="n">
        <f aca="false">Assumptions!$C$17*AK8*AK9*(1+Assumptions!$E$17)^(AK5-1)</f>
        <v>0</v>
      </c>
      <c r="AL28" s="35" t="n">
        <f aca="false">Assumptions!$C$17*AL8*AL9*(1+Assumptions!$E$17)^(AL5-1)</f>
        <v>0</v>
      </c>
      <c r="AM28" s="35" t="n">
        <f aca="false">Assumptions!$C$17*AM8*AM9*(1+Assumptions!$E$17)^(AM5-1)</f>
        <v>0</v>
      </c>
      <c r="AN28" s="35" t="n">
        <f aca="false">Assumptions!$C$17*AN8*AN9*(1+Assumptions!$E$17)^(AN5-1)</f>
        <v>0</v>
      </c>
      <c r="AO28" s="35" t="n">
        <f aca="false">Assumptions!$C$17*AO8*AO9*(1+Assumptions!$E$17)^(AO5-1)</f>
        <v>0</v>
      </c>
      <c r="AP28" s="35" t="n">
        <f aca="false">Assumptions!$C$17*AP8*AP9*(1+Assumptions!$E$17)^(AP5-1)</f>
        <v>0</v>
      </c>
      <c r="AQ28" s="35" t="n">
        <f aca="false">Assumptions!$C$17*AQ8*AQ9*(1+Assumptions!$E$17)^(AQ5-1)</f>
        <v>0</v>
      </c>
      <c r="AR28" s="35" t="n">
        <f aca="false">Assumptions!$C$17*AR8*AR9*(1+Assumptions!$E$17)^(AR5-1)</f>
        <v>0</v>
      </c>
      <c r="AS28" s="35" t="n">
        <f aca="false">Assumptions!$C$17*AS8*AS9*(1+Assumptions!$E$17)^(AS5-1)</f>
        <v>0</v>
      </c>
      <c r="AT28" s="35" t="n">
        <f aca="false">Assumptions!$C$17*AT8*AT9*(1+Assumptions!$E$17)^(AT5-1)</f>
        <v>0</v>
      </c>
      <c r="AU28" s="35" t="n">
        <f aca="false">Assumptions!$C$17*AU8*AU9*(1+Assumptions!$E$17)^(AU5-1)</f>
        <v>0</v>
      </c>
      <c r="AV28" s="35" t="n">
        <f aca="false">Assumptions!$C$17*AV8*AV9*(1+Assumptions!$E$17)^(AV5-1)</f>
        <v>0</v>
      </c>
      <c r="AW28" s="35" t="n">
        <f aca="false">Assumptions!$C$17*AW8*AW9*(1+Assumptions!$E$17)^(AW5-1)</f>
        <v>0</v>
      </c>
      <c r="AX28" s="35" t="n">
        <f aca="false">Assumptions!$C$17*AX8*AX9*(1+Assumptions!$E$17)^(AX5-1)</f>
        <v>0</v>
      </c>
      <c r="AY28" s="35" t="n">
        <f aca="false">Assumptions!$C$17*AY8*AY9*(1+Assumptions!$E$17)^(AY5-1)</f>
        <v>0</v>
      </c>
      <c r="AZ28" s="35" t="n">
        <f aca="false">Assumptions!$C$17*AZ8*AZ9*(1+Assumptions!$E$17)^(AZ5-1)</f>
        <v>0</v>
      </c>
      <c r="BA28" s="35" t="n">
        <f aca="false">Assumptions!$C$17*BA8*BA9*(1+Assumptions!$E$17)^(BA5-1)</f>
        <v>0</v>
      </c>
      <c r="BB28" s="35" t="n">
        <f aca="false">Assumptions!$C$17*BB8*BB9*(1+Assumptions!$E$17)^(BB5-1)</f>
        <v>0</v>
      </c>
      <c r="BC28" s="35" t="n">
        <f aca="false">Assumptions!$C$17*BC8*BC9*(1+Assumptions!$E$17)^(BC5-1)</f>
        <v>0</v>
      </c>
      <c r="BD28" s="35" t="n">
        <f aca="false">Assumptions!$C$17*BD8*BD9*(1+Assumptions!$E$17)^(BD5-1)</f>
        <v>0</v>
      </c>
      <c r="BE28" s="35" t="n">
        <f aca="false">Assumptions!$C$17*BE8*BE9*(1+Assumptions!$E$17)^(BE5-1)</f>
        <v>0</v>
      </c>
      <c r="BF28" s="35" t="n">
        <f aca="false">Assumptions!$C$17*BF8*BF9*(1+Assumptions!$E$17)^(BF5-1)</f>
        <v>0</v>
      </c>
      <c r="BG28" s="35" t="n">
        <f aca="false">Assumptions!$C$17*BG8*BG9*(1+Assumptions!$E$17)^(BG5-1)</f>
        <v>0</v>
      </c>
      <c r="BH28" s="35" t="n">
        <f aca="false">Assumptions!$C$17*BH8*BH9*(1+Assumptions!$E$17)^(BH5-1)</f>
        <v>0</v>
      </c>
      <c r="BI28" s="35" t="n">
        <f aca="false">Assumptions!$C$17*BI8*BI9*(1+Assumptions!$E$17)^(BI5-1)</f>
        <v>0</v>
      </c>
      <c r="BJ28" s="35" t="n">
        <f aca="false">Assumptions!$C$17*BJ8*BJ9*(1+Assumptions!$E$17)^(BJ5-1)</f>
        <v>0</v>
      </c>
      <c r="BK28" s="36" t="n">
        <f aca="false">SUMIF($C$5:$BJ$5,BK$5,$C28:$BJ28)</f>
        <v>0</v>
      </c>
      <c r="BL28" s="36" t="n">
        <f aca="false">SUMIF($C$5:$BJ$5,BL$5,$C28:$BJ28)</f>
        <v>0</v>
      </c>
      <c r="BM28" s="36" t="n">
        <f aca="false">SUMIF($C$5:$BJ$5,BM$5,$C28:$BJ28)</f>
        <v>0</v>
      </c>
      <c r="BN28" s="36" t="n">
        <f aca="false">SUMIF($C$5:$BJ$5,BN$5,$C28:$BJ28)</f>
        <v>0</v>
      </c>
      <c r="BO28" s="36" t="n">
        <f aca="false">SUMIF($C$5:$BJ$5,BO$5,$C28:$BJ28)</f>
        <v>0</v>
      </c>
    </row>
    <row r="29" customFormat="false" ht="15" hidden="false" customHeight="false" outlineLevel="0" collapsed="false">
      <c r="A29" s="18" t="s">
        <v>227</v>
      </c>
      <c r="B29" s="2" t="s">
        <v>228</v>
      </c>
      <c r="C29" s="37" t="n">
        <f aca="false">Assumptions!$D$17*(1+Assumptions!$F$17)^(C5-1)</f>
        <v>0</v>
      </c>
      <c r="D29" s="37" t="n">
        <f aca="false">Assumptions!$D$17*(1+Assumptions!$F$17)^(D5-1)</f>
        <v>0</v>
      </c>
      <c r="E29" s="37" t="n">
        <f aca="false">Assumptions!$D$17*(1+Assumptions!$F$17)^(E5-1)</f>
        <v>0</v>
      </c>
      <c r="F29" s="37" t="n">
        <f aca="false">Assumptions!$D$17*(1+Assumptions!$F$17)^(F5-1)</f>
        <v>0</v>
      </c>
      <c r="G29" s="37" t="n">
        <f aca="false">Assumptions!$D$17*(1+Assumptions!$F$17)^(G5-1)</f>
        <v>0</v>
      </c>
      <c r="H29" s="37" t="n">
        <f aca="false">Assumptions!$D$17*(1+Assumptions!$F$17)^(H5-1)</f>
        <v>0</v>
      </c>
      <c r="I29" s="37" t="n">
        <f aca="false">Assumptions!$D$17*(1+Assumptions!$F$17)^(I5-1)</f>
        <v>0</v>
      </c>
      <c r="J29" s="37" t="n">
        <f aca="false">Assumptions!$D$17*(1+Assumptions!$F$17)^(J5-1)</f>
        <v>0</v>
      </c>
      <c r="K29" s="37" t="n">
        <f aca="false">Assumptions!$D$17*(1+Assumptions!$F$17)^(K5-1)</f>
        <v>0</v>
      </c>
      <c r="L29" s="37" t="n">
        <f aca="false">Assumptions!$D$17*(1+Assumptions!$F$17)^(L5-1)</f>
        <v>0</v>
      </c>
      <c r="M29" s="37" t="n">
        <f aca="false">Assumptions!$D$17*(1+Assumptions!$F$17)^(M5-1)</f>
        <v>0</v>
      </c>
      <c r="N29" s="37" t="n">
        <f aca="false">Assumptions!$D$17*(1+Assumptions!$F$17)^(N5-1)</f>
        <v>0</v>
      </c>
      <c r="O29" s="37" t="n">
        <f aca="false">Assumptions!$D$17*(1+Assumptions!$F$17)^(O5-1)</f>
        <v>0</v>
      </c>
      <c r="P29" s="37" t="n">
        <f aca="false">Assumptions!$D$17*(1+Assumptions!$F$17)^(P5-1)</f>
        <v>0</v>
      </c>
      <c r="Q29" s="37" t="n">
        <f aca="false">Assumptions!$D$17*(1+Assumptions!$F$17)^(Q5-1)</f>
        <v>0</v>
      </c>
      <c r="R29" s="37" t="n">
        <f aca="false">Assumptions!$D$17*(1+Assumptions!$F$17)^(R5-1)</f>
        <v>0</v>
      </c>
      <c r="S29" s="37" t="n">
        <f aca="false">Assumptions!$D$17*(1+Assumptions!$F$17)^(S5-1)</f>
        <v>0</v>
      </c>
      <c r="T29" s="37" t="n">
        <f aca="false">Assumptions!$D$17*(1+Assumptions!$F$17)^(T5-1)</f>
        <v>0</v>
      </c>
      <c r="U29" s="37" t="n">
        <f aca="false">Assumptions!$D$17*(1+Assumptions!$F$17)^(U5-1)</f>
        <v>0</v>
      </c>
      <c r="V29" s="37" t="n">
        <f aca="false">Assumptions!$D$17*(1+Assumptions!$F$17)^(V5-1)</f>
        <v>0</v>
      </c>
      <c r="W29" s="37" t="n">
        <f aca="false">Assumptions!$D$17*(1+Assumptions!$F$17)^(W5-1)</f>
        <v>0</v>
      </c>
      <c r="X29" s="37" t="n">
        <f aca="false">Assumptions!$D$17*(1+Assumptions!$F$17)^(X5-1)</f>
        <v>0</v>
      </c>
      <c r="Y29" s="37" t="n">
        <f aca="false">Assumptions!$D$17*(1+Assumptions!$F$17)^(Y5-1)</f>
        <v>0</v>
      </c>
      <c r="Z29" s="37" t="n">
        <f aca="false">Assumptions!$D$17*(1+Assumptions!$F$17)^(Z5-1)</f>
        <v>0</v>
      </c>
      <c r="AA29" s="37" t="n">
        <f aca="false">Assumptions!$D$17*(1+Assumptions!$F$17)^(AA5-1)</f>
        <v>0</v>
      </c>
      <c r="AB29" s="37" t="n">
        <f aca="false">Assumptions!$D$17*(1+Assumptions!$F$17)^(AB5-1)</f>
        <v>0</v>
      </c>
      <c r="AC29" s="37" t="n">
        <f aca="false">Assumptions!$D$17*(1+Assumptions!$F$17)^(AC5-1)</f>
        <v>0</v>
      </c>
      <c r="AD29" s="37" t="n">
        <f aca="false">Assumptions!$D$17*(1+Assumptions!$F$17)^(AD5-1)</f>
        <v>0</v>
      </c>
      <c r="AE29" s="37" t="n">
        <f aca="false">Assumptions!$D$17*(1+Assumptions!$F$17)^(AE5-1)</f>
        <v>0</v>
      </c>
      <c r="AF29" s="37" t="n">
        <f aca="false">Assumptions!$D$17*(1+Assumptions!$F$17)^(AF5-1)</f>
        <v>0</v>
      </c>
      <c r="AG29" s="37" t="n">
        <f aca="false">Assumptions!$D$17*(1+Assumptions!$F$17)^(AG5-1)</f>
        <v>0</v>
      </c>
      <c r="AH29" s="37" t="n">
        <f aca="false">Assumptions!$D$17*(1+Assumptions!$F$17)^(AH5-1)</f>
        <v>0</v>
      </c>
      <c r="AI29" s="37" t="n">
        <f aca="false">Assumptions!$D$17*(1+Assumptions!$F$17)^(AI5-1)</f>
        <v>0</v>
      </c>
      <c r="AJ29" s="37" t="n">
        <f aca="false">Assumptions!$D$17*(1+Assumptions!$F$17)^(AJ5-1)</f>
        <v>0</v>
      </c>
      <c r="AK29" s="37" t="n">
        <f aca="false">Assumptions!$D$17*(1+Assumptions!$F$17)^(AK5-1)</f>
        <v>0</v>
      </c>
      <c r="AL29" s="37" t="n">
        <f aca="false">Assumptions!$D$17*(1+Assumptions!$F$17)^(AL5-1)</f>
        <v>0</v>
      </c>
      <c r="AM29" s="37" t="n">
        <f aca="false">Assumptions!$D$17*(1+Assumptions!$F$17)^(AM5-1)</f>
        <v>0</v>
      </c>
      <c r="AN29" s="37" t="n">
        <f aca="false">Assumptions!$D$17*(1+Assumptions!$F$17)^(AN5-1)</f>
        <v>0</v>
      </c>
      <c r="AO29" s="37" t="n">
        <f aca="false">Assumptions!$D$17*(1+Assumptions!$F$17)^(AO5-1)</f>
        <v>0</v>
      </c>
      <c r="AP29" s="37" t="n">
        <f aca="false">Assumptions!$D$17*(1+Assumptions!$F$17)^(AP5-1)</f>
        <v>0</v>
      </c>
      <c r="AQ29" s="37" t="n">
        <f aca="false">Assumptions!$D$17*(1+Assumptions!$F$17)^(AQ5-1)</f>
        <v>0</v>
      </c>
      <c r="AR29" s="37" t="n">
        <f aca="false">Assumptions!$D$17*(1+Assumptions!$F$17)^(AR5-1)</f>
        <v>0</v>
      </c>
      <c r="AS29" s="37" t="n">
        <f aca="false">Assumptions!$D$17*(1+Assumptions!$F$17)^(AS5-1)</f>
        <v>0</v>
      </c>
      <c r="AT29" s="37" t="n">
        <f aca="false">Assumptions!$D$17*(1+Assumptions!$F$17)^(AT5-1)</f>
        <v>0</v>
      </c>
      <c r="AU29" s="37" t="n">
        <f aca="false">Assumptions!$D$17*(1+Assumptions!$F$17)^(AU5-1)</f>
        <v>0</v>
      </c>
      <c r="AV29" s="37" t="n">
        <f aca="false">Assumptions!$D$17*(1+Assumptions!$F$17)^(AV5-1)</f>
        <v>0</v>
      </c>
      <c r="AW29" s="37" t="n">
        <f aca="false">Assumptions!$D$17*(1+Assumptions!$F$17)^(AW5-1)</f>
        <v>0</v>
      </c>
      <c r="AX29" s="37" t="n">
        <f aca="false">Assumptions!$D$17*(1+Assumptions!$F$17)^(AX5-1)</f>
        <v>0</v>
      </c>
      <c r="AY29" s="37" t="n">
        <f aca="false">Assumptions!$D$17*(1+Assumptions!$F$17)^(AY5-1)</f>
        <v>0</v>
      </c>
      <c r="AZ29" s="37" t="n">
        <f aca="false">Assumptions!$D$17*(1+Assumptions!$F$17)^(AZ5-1)</f>
        <v>0</v>
      </c>
      <c r="BA29" s="37" t="n">
        <f aca="false">Assumptions!$D$17*(1+Assumptions!$F$17)^(BA5-1)</f>
        <v>0</v>
      </c>
      <c r="BB29" s="37" t="n">
        <f aca="false">Assumptions!$D$17*(1+Assumptions!$F$17)^(BB5-1)</f>
        <v>0</v>
      </c>
      <c r="BC29" s="37" t="n">
        <f aca="false">Assumptions!$D$17*(1+Assumptions!$F$17)^(BC5-1)</f>
        <v>0</v>
      </c>
      <c r="BD29" s="37" t="n">
        <f aca="false">Assumptions!$D$17*(1+Assumptions!$F$17)^(BD5-1)</f>
        <v>0</v>
      </c>
      <c r="BE29" s="37" t="n">
        <f aca="false">Assumptions!$D$17*(1+Assumptions!$F$17)^(BE5-1)</f>
        <v>0</v>
      </c>
      <c r="BF29" s="37" t="n">
        <f aca="false">Assumptions!$D$17*(1+Assumptions!$F$17)^(BF5-1)</f>
        <v>0</v>
      </c>
      <c r="BG29" s="37" t="n">
        <f aca="false">Assumptions!$D$17*(1+Assumptions!$F$17)^(BG5-1)</f>
        <v>0</v>
      </c>
      <c r="BH29" s="37" t="n">
        <f aca="false">Assumptions!$D$17*(1+Assumptions!$F$17)^(BH5-1)</f>
        <v>0</v>
      </c>
      <c r="BI29" s="37" t="n">
        <f aca="false">Assumptions!$D$17*(1+Assumptions!$F$17)^(BI5-1)</f>
        <v>0</v>
      </c>
      <c r="BJ29" s="37" t="n">
        <f aca="false">Assumptions!$D$17*(1+Assumptions!$F$17)^(BJ5-1)</f>
        <v>0</v>
      </c>
      <c r="BK29" s="38" t="n">
        <f aca="false">IF(BK28=0,0,BK30/BK28)</f>
        <v>0</v>
      </c>
      <c r="BL29" s="38" t="n">
        <f aca="false">IF(BL28=0,0,BL30/BL28)</f>
        <v>0</v>
      </c>
      <c r="BM29" s="38" t="n">
        <f aca="false">IF(BM28=0,0,BM30/BM28)</f>
        <v>0</v>
      </c>
      <c r="BN29" s="38" t="n">
        <f aca="false">IF(BN28=0,0,BN30/BN28)</f>
        <v>0</v>
      </c>
      <c r="BO29" s="38" t="n">
        <f aca="false">IF(BO28=0,0,BO30/BO28)</f>
        <v>0</v>
      </c>
    </row>
    <row r="30" customFormat="false" ht="15" hidden="false" customHeight="false" outlineLevel="0" collapsed="false">
      <c r="A30" s="39" t="s">
        <v>57</v>
      </c>
      <c r="B30" s="40"/>
      <c r="C30" s="41" t="n">
        <f aca="false">C28*C29</f>
        <v>0</v>
      </c>
      <c r="D30" s="41" t="n">
        <f aca="false">D28*D29</f>
        <v>0</v>
      </c>
      <c r="E30" s="41" t="n">
        <f aca="false">E28*E29</f>
        <v>0</v>
      </c>
      <c r="F30" s="41" t="n">
        <f aca="false">F28*F29</f>
        <v>0</v>
      </c>
      <c r="G30" s="41" t="n">
        <f aca="false">G28*G29</f>
        <v>0</v>
      </c>
      <c r="H30" s="41" t="n">
        <f aca="false">H28*H29</f>
        <v>0</v>
      </c>
      <c r="I30" s="41" t="n">
        <f aca="false">I28*I29</f>
        <v>0</v>
      </c>
      <c r="J30" s="41" t="n">
        <f aca="false">J28*J29</f>
        <v>0</v>
      </c>
      <c r="K30" s="41" t="n">
        <f aca="false">K28*K29</f>
        <v>0</v>
      </c>
      <c r="L30" s="41" t="n">
        <f aca="false">L28*L29</f>
        <v>0</v>
      </c>
      <c r="M30" s="41" t="n">
        <f aca="false">M28*M29</f>
        <v>0</v>
      </c>
      <c r="N30" s="41" t="n">
        <f aca="false">N28*N29</f>
        <v>0</v>
      </c>
      <c r="O30" s="41" t="n">
        <f aca="false">O28*O29</f>
        <v>0</v>
      </c>
      <c r="P30" s="41" t="n">
        <f aca="false">P28*P29</f>
        <v>0</v>
      </c>
      <c r="Q30" s="41" t="n">
        <f aca="false">Q28*Q29</f>
        <v>0</v>
      </c>
      <c r="R30" s="41" t="n">
        <f aca="false">R28*R29</f>
        <v>0</v>
      </c>
      <c r="S30" s="41" t="n">
        <f aca="false">S28*S29</f>
        <v>0</v>
      </c>
      <c r="T30" s="41" t="n">
        <f aca="false">T28*T29</f>
        <v>0</v>
      </c>
      <c r="U30" s="41" t="n">
        <f aca="false">U28*U29</f>
        <v>0</v>
      </c>
      <c r="V30" s="41" t="n">
        <f aca="false">V28*V29</f>
        <v>0</v>
      </c>
      <c r="W30" s="41" t="n">
        <f aca="false">W28*W29</f>
        <v>0</v>
      </c>
      <c r="X30" s="41" t="n">
        <f aca="false">X28*X29</f>
        <v>0</v>
      </c>
      <c r="Y30" s="41" t="n">
        <f aca="false">Y28*Y29</f>
        <v>0</v>
      </c>
      <c r="Z30" s="41" t="n">
        <f aca="false">Z28*Z29</f>
        <v>0</v>
      </c>
      <c r="AA30" s="41" t="n">
        <f aca="false">AA28*AA29</f>
        <v>0</v>
      </c>
      <c r="AB30" s="41" t="n">
        <f aca="false">AB28*AB29</f>
        <v>0</v>
      </c>
      <c r="AC30" s="41" t="n">
        <f aca="false">AC28*AC29</f>
        <v>0</v>
      </c>
      <c r="AD30" s="41" t="n">
        <f aca="false">AD28*AD29</f>
        <v>0</v>
      </c>
      <c r="AE30" s="41" t="n">
        <f aca="false">AE28*AE29</f>
        <v>0</v>
      </c>
      <c r="AF30" s="41" t="n">
        <f aca="false">AF28*AF29</f>
        <v>0</v>
      </c>
      <c r="AG30" s="41" t="n">
        <f aca="false">AG28*AG29</f>
        <v>0</v>
      </c>
      <c r="AH30" s="41" t="n">
        <f aca="false">AH28*AH29</f>
        <v>0</v>
      </c>
      <c r="AI30" s="41" t="n">
        <f aca="false">AI28*AI29</f>
        <v>0</v>
      </c>
      <c r="AJ30" s="41" t="n">
        <f aca="false">AJ28*AJ29</f>
        <v>0</v>
      </c>
      <c r="AK30" s="41" t="n">
        <f aca="false">AK28*AK29</f>
        <v>0</v>
      </c>
      <c r="AL30" s="41" t="n">
        <f aca="false">AL28*AL29</f>
        <v>0</v>
      </c>
      <c r="AM30" s="41" t="n">
        <f aca="false">AM28*AM29</f>
        <v>0</v>
      </c>
      <c r="AN30" s="41" t="n">
        <f aca="false">AN28*AN29</f>
        <v>0</v>
      </c>
      <c r="AO30" s="41" t="n">
        <f aca="false">AO28*AO29</f>
        <v>0</v>
      </c>
      <c r="AP30" s="41" t="n">
        <f aca="false">AP28*AP29</f>
        <v>0</v>
      </c>
      <c r="AQ30" s="41" t="n">
        <f aca="false">AQ28*AQ29</f>
        <v>0</v>
      </c>
      <c r="AR30" s="41" t="n">
        <f aca="false">AR28*AR29</f>
        <v>0</v>
      </c>
      <c r="AS30" s="41" t="n">
        <f aca="false">AS28*AS29</f>
        <v>0</v>
      </c>
      <c r="AT30" s="41" t="n">
        <f aca="false">AT28*AT29</f>
        <v>0</v>
      </c>
      <c r="AU30" s="41" t="n">
        <f aca="false">AU28*AU29</f>
        <v>0</v>
      </c>
      <c r="AV30" s="41" t="n">
        <f aca="false">AV28*AV29</f>
        <v>0</v>
      </c>
      <c r="AW30" s="41" t="n">
        <f aca="false">AW28*AW29</f>
        <v>0</v>
      </c>
      <c r="AX30" s="41" t="n">
        <f aca="false">AX28*AX29</f>
        <v>0</v>
      </c>
      <c r="AY30" s="41" t="n">
        <f aca="false">AY28*AY29</f>
        <v>0</v>
      </c>
      <c r="AZ30" s="41" t="n">
        <f aca="false">AZ28*AZ29</f>
        <v>0</v>
      </c>
      <c r="BA30" s="41" t="n">
        <f aca="false">BA28*BA29</f>
        <v>0</v>
      </c>
      <c r="BB30" s="41" t="n">
        <f aca="false">BB28*BB29</f>
        <v>0</v>
      </c>
      <c r="BC30" s="41" t="n">
        <f aca="false">BC28*BC29</f>
        <v>0</v>
      </c>
      <c r="BD30" s="41" t="n">
        <f aca="false">BD28*BD29</f>
        <v>0</v>
      </c>
      <c r="BE30" s="41" t="n">
        <f aca="false">BE28*BE29</f>
        <v>0</v>
      </c>
      <c r="BF30" s="41" t="n">
        <f aca="false">BF28*BF29</f>
        <v>0</v>
      </c>
      <c r="BG30" s="41" t="n">
        <f aca="false">BG28*BG29</f>
        <v>0</v>
      </c>
      <c r="BH30" s="41" t="n">
        <f aca="false">BH28*BH29</f>
        <v>0</v>
      </c>
      <c r="BI30" s="41" t="n">
        <f aca="false">BI28*BI29</f>
        <v>0</v>
      </c>
      <c r="BJ30" s="41" t="n">
        <f aca="false">BJ28*BJ29</f>
        <v>0</v>
      </c>
      <c r="BK30" s="42" t="n">
        <f aca="false">SUMIF($C$5:$BJ$5,BK$5,$C30:$BJ30)</f>
        <v>0</v>
      </c>
      <c r="BL30" s="42" t="n">
        <f aca="false">SUMIF($C$5:$BJ$5,BL$5,$C30:$BJ30)</f>
        <v>0</v>
      </c>
      <c r="BM30" s="42" t="n">
        <f aca="false">SUMIF($C$5:$BJ$5,BM$5,$C30:$BJ30)</f>
        <v>0</v>
      </c>
      <c r="BN30" s="42" t="n">
        <f aca="false">SUMIF($C$5:$BJ$5,BN$5,$C30:$BJ30)</f>
        <v>0</v>
      </c>
      <c r="BO30" s="42" t="n">
        <f aca="false">SUMIF($C$5:$BJ$5,BO$5,$C30:$BJ30)</f>
        <v>0</v>
      </c>
    </row>
    <row r="32" customFormat="false" ht="15" hidden="false" customHeight="false" outlineLevel="0" collapsed="false">
      <c r="A32" s="39" t="s">
        <v>229</v>
      </c>
      <c r="B32" s="40"/>
      <c r="C32" s="41" t="n">
        <f aca="false">C14+C18+C22+C26+C30</f>
        <v>17550</v>
      </c>
      <c r="D32" s="41" t="n">
        <f aca="false">D14+D18+D22+D26+D30</f>
        <v>21060</v>
      </c>
      <c r="E32" s="41" t="n">
        <f aca="false">E14+E18+E22+E26+E30</f>
        <v>27300</v>
      </c>
      <c r="F32" s="41" t="n">
        <f aca="false">F14+F18+F22+F26+F30</f>
        <v>32760</v>
      </c>
      <c r="G32" s="41" t="n">
        <f aca="false">G14+G18+G22+G26+G30</f>
        <v>38610</v>
      </c>
      <c r="H32" s="41" t="n">
        <f aca="false">H14+H18+H22+H26+H30</f>
        <v>42900</v>
      </c>
      <c r="I32" s="41" t="n">
        <f aca="false">I14+I18+I22+I26+I30</f>
        <v>40950</v>
      </c>
      <c r="J32" s="41" t="n">
        <f aca="false">J14+J18+J22+J26+J30</f>
        <v>39000</v>
      </c>
      <c r="K32" s="41" t="n">
        <f aca="false">K14+K18+K22+K26+K30</f>
        <v>39000</v>
      </c>
      <c r="L32" s="41" t="n">
        <f aca="false">L14+L18+L22+L26+L30</f>
        <v>39000</v>
      </c>
      <c r="M32" s="41" t="n">
        <f aca="false">M14+M18+M22+M26+M30</f>
        <v>37050</v>
      </c>
      <c r="N32" s="41" t="n">
        <f aca="false">N14+N18+N22+N26+N30</f>
        <v>37050</v>
      </c>
      <c r="O32" s="41" t="n">
        <f aca="false">O14+O18+O22+O26+O30</f>
        <v>38348.1</v>
      </c>
      <c r="P32" s="41" t="n">
        <f aca="false">P14+P18+P22+P26+P30</f>
        <v>38348.1</v>
      </c>
      <c r="Q32" s="41" t="n">
        <f aca="false">Q14+Q18+Q22+Q26+Q30</f>
        <v>42609</v>
      </c>
      <c r="R32" s="41" t="n">
        <f aca="false">R14+R18+R22+R26+R30</f>
        <v>44739.45</v>
      </c>
      <c r="S32" s="41" t="n">
        <f aca="false">S14+S18+S22+S26+S30</f>
        <v>46869.9</v>
      </c>
      <c r="T32" s="41" t="n">
        <f aca="false">T14+T18+T22+T26+T30</f>
        <v>46869.9</v>
      </c>
      <c r="U32" s="41" t="n">
        <f aca="false">U14+U18+U22+U26+U30</f>
        <v>44739.45</v>
      </c>
      <c r="V32" s="41" t="n">
        <f aca="false">V14+V18+V22+V26+V30</f>
        <v>42609</v>
      </c>
      <c r="W32" s="41" t="n">
        <f aca="false">W14+W18+W22+W26+W30</f>
        <v>42609</v>
      </c>
      <c r="X32" s="41" t="n">
        <f aca="false">X14+X18+X22+X26+X30</f>
        <v>42609</v>
      </c>
      <c r="Y32" s="41" t="n">
        <f aca="false">Y14+Y18+Y22+Y26+Y30</f>
        <v>40478.55</v>
      </c>
      <c r="Z32" s="41" t="n">
        <f aca="false">Z14+Z18+Z22+Z26+Z30</f>
        <v>40478.55</v>
      </c>
      <c r="AA32" s="41" t="n">
        <f aca="false">AA14+AA18+AA22+AA26+AA30</f>
        <v>41910.00966</v>
      </c>
      <c r="AB32" s="41" t="n">
        <f aca="false">AB14+AB18+AB22+AB26+AB30</f>
        <v>41910.00966</v>
      </c>
      <c r="AC32" s="41" t="n">
        <f aca="false">AC14+AC18+AC22+AC26+AC30</f>
        <v>46566.6774</v>
      </c>
      <c r="AD32" s="41" t="n">
        <f aca="false">AD14+AD18+AD22+AD26+AD30</f>
        <v>48895.01127</v>
      </c>
      <c r="AE32" s="41" t="n">
        <f aca="false">AE14+AE18+AE22+AE26+AE30</f>
        <v>51223.34514</v>
      </c>
      <c r="AF32" s="41" t="n">
        <f aca="false">AF14+AF18+AF22+AF26+AF30</f>
        <v>51223.34514</v>
      </c>
      <c r="AG32" s="41" t="n">
        <f aca="false">AG14+AG18+AG22+AG26+AG30</f>
        <v>48895.01127</v>
      </c>
      <c r="AH32" s="41" t="n">
        <f aca="false">AH14+AH18+AH22+AH26+AH30</f>
        <v>46566.6774</v>
      </c>
      <c r="AI32" s="41" t="n">
        <f aca="false">AI14+AI18+AI22+AI26+AI30</f>
        <v>46566.6774</v>
      </c>
      <c r="AJ32" s="41" t="n">
        <f aca="false">AJ14+AJ18+AJ22+AJ26+AJ30</f>
        <v>46566.6774</v>
      </c>
      <c r="AK32" s="41" t="n">
        <f aca="false">AK14+AK18+AK22+AK26+AK30</f>
        <v>44238.34353</v>
      </c>
      <c r="AL32" s="41" t="n">
        <f aca="false">AL14+AL18+AL22+AL26+AL30</f>
        <v>44238.34353</v>
      </c>
      <c r="AM32" s="41" t="n">
        <f aca="false">AM14+AM18+AM22+AM26+AM30</f>
        <v>45817.481296548</v>
      </c>
      <c r="AN32" s="41" t="n">
        <f aca="false">AN14+AN18+AN22+AN26+AN30</f>
        <v>45817.481296548</v>
      </c>
      <c r="AO32" s="41" t="n">
        <f aca="false">AO14+AO18+AO22+AO26+AO30</f>
        <v>50908.31255172</v>
      </c>
      <c r="AP32" s="41" t="n">
        <f aca="false">AP14+AP18+AP22+AP26+AP30</f>
        <v>53453.728179306</v>
      </c>
      <c r="AQ32" s="41" t="n">
        <f aca="false">AQ14+AQ18+AQ22+AQ26+AQ30</f>
        <v>55999.143806892</v>
      </c>
      <c r="AR32" s="41" t="n">
        <f aca="false">AR14+AR18+AR22+AR26+AR30</f>
        <v>55999.143806892</v>
      </c>
      <c r="AS32" s="41" t="n">
        <f aca="false">AS14+AS18+AS22+AS26+AS30</f>
        <v>53453.728179306</v>
      </c>
      <c r="AT32" s="41" t="n">
        <f aca="false">AT14+AT18+AT22+AT26+AT30</f>
        <v>50908.31255172</v>
      </c>
      <c r="AU32" s="41" t="n">
        <f aca="false">AU14+AU18+AU22+AU26+AU30</f>
        <v>50908.31255172</v>
      </c>
      <c r="AV32" s="41" t="n">
        <f aca="false">AV14+AV18+AV22+AV26+AV30</f>
        <v>50908.31255172</v>
      </c>
      <c r="AW32" s="41" t="n">
        <f aca="false">AW14+AW18+AW22+AW26+AW30</f>
        <v>48362.896924134</v>
      </c>
      <c r="AX32" s="41" t="n">
        <f aca="false">AX14+AX18+AX22+AX26+AX30</f>
        <v>48362.896924134</v>
      </c>
      <c r="AY32" s="41" t="n">
        <f aca="false">AY14+AY18+AY22+AY26+AY30</f>
        <v>50105.6351525447</v>
      </c>
      <c r="AZ32" s="41" t="n">
        <f aca="false">AZ14+AZ18+AZ22+AZ26+AZ30</f>
        <v>50105.6351525447</v>
      </c>
      <c r="BA32" s="41" t="n">
        <f aca="false">BA14+BA18+BA22+BA26+BA30</f>
        <v>55672.9279472719</v>
      </c>
      <c r="BB32" s="41" t="n">
        <f aca="false">BB14+BB18+BB22+BB26+BB30</f>
        <v>58456.5743446355</v>
      </c>
      <c r="BC32" s="41" t="n">
        <f aca="false">BC14+BC18+BC22+BC26+BC30</f>
        <v>61240.2207419991</v>
      </c>
      <c r="BD32" s="41" t="n">
        <f aca="false">BD14+BD18+BD22+BD26+BD30</f>
        <v>61240.2207419991</v>
      </c>
      <c r="BE32" s="41" t="n">
        <f aca="false">BE14+BE18+BE22+BE26+BE30</f>
        <v>58456.5743446355</v>
      </c>
      <c r="BF32" s="41" t="n">
        <f aca="false">BF14+BF18+BF22+BF26+BF30</f>
        <v>55672.9279472719</v>
      </c>
      <c r="BG32" s="41" t="n">
        <f aca="false">BG14+BG18+BG22+BG26+BG30</f>
        <v>55672.9279472719</v>
      </c>
      <c r="BH32" s="41" t="n">
        <f aca="false">BH14+BH18+BH22+BH26+BH30</f>
        <v>55672.9279472719</v>
      </c>
      <c r="BI32" s="41" t="n">
        <f aca="false">BI14+BI18+BI22+BI26+BI30</f>
        <v>52889.2815499083</v>
      </c>
      <c r="BJ32" s="41" t="n">
        <f aca="false">BJ14+BJ18+BJ22+BJ26+BJ30</f>
        <v>52889.2815499083</v>
      </c>
      <c r="BK32" s="42" t="n">
        <f aca="false">SUMIF($C$5:$BJ$5,BK$5,$C32:$BJ32)</f>
        <v>412230</v>
      </c>
      <c r="BL32" s="42" t="n">
        <f aca="false">SUMIF($C$5:$BJ$5,BL$5,$C32:$BJ32)</f>
        <v>511308</v>
      </c>
      <c r="BM32" s="42" t="n">
        <f aca="false">SUMIF($C$5:$BJ$5,BM$5,$C32:$BJ32)</f>
        <v>558800.1288</v>
      </c>
      <c r="BN32" s="42" t="n">
        <f aca="false">SUMIF($C$5:$BJ$5,BN$5,$C32:$BJ32)</f>
        <v>610899.75062064</v>
      </c>
      <c r="BO32" s="42" t="n">
        <f aca="false">SUMIF($C$5:$BJ$5,BO$5,$C32:$BJ32)</f>
        <v>668075.135367263</v>
      </c>
    </row>
    <row r="33" customFormat="false" ht="15" hidden="false" customHeight="false" outlineLevel="0" collapsed="false">
      <c r="A33" s="18" t="s">
        <v>230</v>
      </c>
      <c r="B33" s="2"/>
      <c r="C33" s="24" t="n">
        <f aca="false">IF(C4&lt;=12,0,IF(INDEX($C32:$BJ32,C4-12)=0,0,C32/INDEX($C32:$BJ32,C4-12)-1))</f>
        <v>0</v>
      </c>
      <c r="D33" s="24" t="n">
        <f aca="false">IF(D4&lt;=12,0,IF(INDEX($C32:$BJ32,D4-12)=0,0,D32/INDEX($C32:$BJ32,D4-12)-1))</f>
        <v>0</v>
      </c>
      <c r="E33" s="24" t="n">
        <f aca="false">IF(E4&lt;=12,0,IF(INDEX($C32:$BJ32,E4-12)=0,0,E32/INDEX($C32:$BJ32,E4-12)-1))</f>
        <v>0</v>
      </c>
      <c r="F33" s="24" t="n">
        <f aca="false">IF(F4&lt;=12,0,IF(INDEX($C32:$BJ32,F4-12)=0,0,F32/INDEX($C32:$BJ32,F4-12)-1))</f>
        <v>0</v>
      </c>
      <c r="G33" s="24" t="n">
        <f aca="false">IF(G4&lt;=12,0,IF(INDEX($C32:$BJ32,G4-12)=0,0,G32/INDEX($C32:$BJ32,G4-12)-1))</f>
        <v>0</v>
      </c>
      <c r="H33" s="24" t="n">
        <f aca="false">IF(H4&lt;=12,0,IF(INDEX($C32:$BJ32,H4-12)=0,0,H32/INDEX($C32:$BJ32,H4-12)-1))</f>
        <v>0</v>
      </c>
      <c r="I33" s="24" t="n">
        <f aca="false">IF(I4&lt;=12,0,IF(INDEX($C32:$BJ32,I4-12)=0,0,I32/INDEX($C32:$BJ32,I4-12)-1))</f>
        <v>0</v>
      </c>
      <c r="J33" s="24" t="n">
        <f aca="false">IF(J4&lt;=12,0,IF(INDEX($C32:$BJ32,J4-12)=0,0,J32/INDEX($C32:$BJ32,J4-12)-1))</f>
        <v>0</v>
      </c>
      <c r="K33" s="24" t="n">
        <f aca="false">IF(K4&lt;=12,0,IF(INDEX($C32:$BJ32,K4-12)=0,0,K32/INDEX($C32:$BJ32,K4-12)-1))</f>
        <v>0</v>
      </c>
      <c r="L33" s="24" t="n">
        <f aca="false">IF(L4&lt;=12,0,IF(INDEX($C32:$BJ32,L4-12)=0,0,L32/INDEX($C32:$BJ32,L4-12)-1))</f>
        <v>0</v>
      </c>
      <c r="M33" s="24" t="n">
        <f aca="false">IF(M4&lt;=12,0,IF(INDEX($C32:$BJ32,M4-12)=0,0,M32/INDEX($C32:$BJ32,M4-12)-1))</f>
        <v>0</v>
      </c>
      <c r="N33" s="24" t="n">
        <f aca="false">IF(N4&lt;=12,0,IF(INDEX($C32:$BJ32,N4-12)=0,0,N32/INDEX($C32:$BJ32,N4-12)-1))</f>
        <v>0</v>
      </c>
      <c r="O33" s="24" t="n">
        <f aca="false">IF(O4&lt;=12,0,IF(INDEX($C32:$BJ32,O4-12)=0,0,O32/INDEX($C32:$BJ32,O4-12)-1))</f>
        <v>1.18507692307692</v>
      </c>
      <c r="P33" s="24" t="n">
        <f aca="false">IF(P4&lt;=12,0,IF(INDEX($C32:$BJ32,P4-12)=0,0,P32/INDEX($C32:$BJ32,P4-12)-1))</f>
        <v>0.820897435897436</v>
      </c>
      <c r="Q33" s="24" t="n">
        <f aca="false">IF(Q4&lt;=12,0,IF(INDEX($C32:$BJ32,Q4-12)=0,0,Q32/INDEX($C32:$BJ32,Q4-12)-1))</f>
        <v>0.560769230769231</v>
      </c>
      <c r="R33" s="24" t="n">
        <f aca="false">IF(R4&lt;=12,0,IF(INDEX($C32:$BJ32,R4-12)=0,0,R32/INDEX($C32:$BJ32,R4-12)-1))</f>
        <v>0.365673076923077</v>
      </c>
      <c r="S33" s="24" t="n">
        <f aca="false">IF(S4&lt;=12,0,IF(INDEX($C32:$BJ32,S4-12)=0,0,S32/INDEX($C32:$BJ32,S4-12)-1))</f>
        <v>0.213931623931624</v>
      </c>
      <c r="T33" s="24" t="n">
        <f aca="false">IF(T4&lt;=12,0,IF(INDEX($C32:$BJ32,T4-12)=0,0,T32/INDEX($C32:$BJ32,T4-12)-1))</f>
        <v>0.0925384615384615</v>
      </c>
      <c r="U33" s="24" t="n">
        <f aca="false">IF(U4&lt;=12,0,IF(INDEX($C32:$BJ32,U4-12)=0,0,U32/INDEX($C32:$BJ32,U4-12)-1))</f>
        <v>0.0925384615384617</v>
      </c>
      <c r="V33" s="24" t="n">
        <f aca="false">IF(V4&lt;=12,0,IF(INDEX($C32:$BJ32,V4-12)=0,0,V32/INDEX($C32:$BJ32,V4-12)-1))</f>
        <v>0.0925384615384615</v>
      </c>
      <c r="W33" s="24" t="n">
        <f aca="false">IF(W4&lt;=12,0,IF(INDEX($C32:$BJ32,W4-12)=0,0,W32/INDEX($C32:$BJ32,W4-12)-1))</f>
        <v>0.0925384615384615</v>
      </c>
      <c r="X33" s="24" t="n">
        <f aca="false">IF(X4&lt;=12,0,IF(INDEX($C32:$BJ32,X4-12)=0,0,X32/INDEX($C32:$BJ32,X4-12)-1))</f>
        <v>0.0925384615384615</v>
      </c>
      <c r="Y33" s="24" t="n">
        <f aca="false">IF(Y4&lt;=12,0,IF(INDEX($C32:$BJ32,Y4-12)=0,0,Y32/INDEX($C32:$BJ32,Y4-12)-1))</f>
        <v>0.0925384615384617</v>
      </c>
      <c r="Z33" s="24" t="n">
        <f aca="false">IF(Z4&lt;=12,0,IF(INDEX($C32:$BJ32,Z4-12)=0,0,Z32/INDEX($C32:$BJ32,Z4-12)-1))</f>
        <v>0.0925384615384617</v>
      </c>
      <c r="AA33" s="24" t="n">
        <f aca="false">IF(AA4&lt;=12,0,IF(INDEX($C32:$BJ32,AA4-12)=0,0,AA32/INDEX($C32:$BJ32,AA4-12)-1))</f>
        <v>0.0928836020559036</v>
      </c>
      <c r="AB33" s="24" t="n">
        <f aca="false">IF(AB4&lt;=12,0,IF(INDEX($C32:$BJ32,AB4-12)=0,0,AB32/INDEX($C32:$BJ32,AB4-12)-1))</f>
        <v>0.0928836020559036</v>
      </c>
      <c r="AC33" s="24" t="n">
        <f aca="false">IF(AC4&lt;=12,0,IF(INDEX($C32:$BJ32,AC4-12)=0,0,AC32/INDEX($C32:$BJ32,AC4-12)-1))</f>
        <v>0.0928836020559036</v>
      </c>
      <c r="AD33" s="24" t="n">
        <f aca="false">IF(AD4&lt;=12,0,IF(INDEX($C32:$BJ32,AD4-12)=0,0,AD32/INDEX($C32:$BJ32,AD4-12)-1))</f>
        <v>0.0928836020559036</v>
      </c>
      <c r="AE33" s="24" t="n">
        <f aca="false">IF(AE4&lt;=12,0,IF(INDEX($C32:$BJ32,AE4-12)=0,0,AE32/INDEX($C32:$BJ32,AE4-12)-1))</f>
        <v>0.0928836020559036</v>
      </c>
      <c r="AF33" s="24" t="n">
        <f aca="false">IF(AF4&lt;=12,0,IF(INDEX($C32:$BJ32,AF4-12)=0,0,AF32/INDEX($C32:$BJ32,AF4-12)-1))</f>
        <v>0.0928836020559036</v>
      </c>
      <c r="AG33" s="24" t="n">
        <f aca="false">IF(AG4&lt;=12,0,IF(INDEX($C32:$BJ32,AG4-12)=0,0,AG32/INDEX($C32:$BJ32,AG4-12)-1))</f>
        <v>0.0928836020559036</v>
      </c>
      <c r="AH33" s="24" t="n">
        <f aca="false">IF(AH4&lt;=12,0,IF(INDEX($C32:$BJ32,AH4-12)=0,0,AH32/INDEX($C32:$BJ32,AH4-12)-1))</f>
        <v>0.0928836020559036</v>
      </c>
      <c r="AI33" s="24" t="n">
        <f aca="false">IF(AI4&lt;=12,0,IF(INDEX($C32:$BJ32,AI4-12)=0,0,AI32/INDEX($C32:$BJ32,AI4-12)-1))</f>
        <v>0.0928836020559036</v>
      </c>
      <c r="AJ33" s="24" t="n">
        <f aca="false">IF(AJ4&lt;=12,0,IF(INDEX($C32:$BJ32,AJ4-12)=0,0,AJ32/INDEX($C32:$BJ32,AJ4-12)-1))</f>
        <v>0.0928836020559036</v>
      </c>
      <c r="AK33" s="24" t="n">
        <f aca="false">IF(AK4&lt;=12,0,IF(INDEX($C32:$BJ32,AK4-12)=0,0,AK32/INDEX($C32:$BJ32,AK4-12)-1))</f>
        <v>0.0928836020559039</v>
      </c>
      <c r="AL33" s="24" t="n">
        <f aca="false">IF(AL4&lt;=12,0,IF(INDEX($C32:$BJ32,AL4-12)=0,0,AL32/INDEX($C32:$BJ32,AL4-12)-1))</f>
        <v>0.0928836020559039</v>
      </c>
      <c r="AM33" s="24" t="n">
        <f aca="false">IF(AM4&lt;=12,0,IF(INDEX($C32:$BJ32,AM4-12)=0,0,AM32/INDEX($C32:$BJ32,AM4-12)-1))</f>
        <v>0.0932348063922639</v>
      </c>
      <c r="AN33" s="24" t="n">
        <f aca="false">IF(AN4&lt;=12,0,IF(INDEX($C32:$BJ32,AN4-12)=0,0,AN32/INDEX($C32:$BJ32,AN4-12)-1))</f>
        <v>0.0932348063922639</v>
      </c>
      <c r="AO33" s="24" t="n">
        <f aca="false">IF(AO4&lt;=12,0,IF(INDEX($C32:$BJ32,AO4-12)=0,0,AO32/INDEX($C32:$BJ32,AO4-12)-1))</f>
        <v>0.0932348063922639</v>
      </c>
      <c r="AP33" s="24" t="n">
        <f aca="false">IF(AP4&lt;=12,0,IF(INDEX($C32:$BJ32,AP4-12)=0,0,AP32/INDEX($C32:$BJ32,AP4-12)-1))</f>
        <v>0.0932348063922639</v>
      </c>
      <c r="AQ33" s="24" t="n">
        <f aca="false">IF(AQ4&lt;=12,0,IF(INDEX($C32:$BJ32,AQ4-12)=0,0,AQ32/INDEX($C32:$BJ32,AQ4-12)-1))</f>
        <v>0.0932348063922639</v>
      </c>
      <c r="AR33" s="24" t="n">
        <f aca="false">IF(AR4&lt;=12,0,IF(INDEX($C32:$BJ32,AR4-12)=0,0,AR32/INDEX($C32:$BJ32,AR4-12)-1))</f>
        <v>0.0932348063922639</v>
      </c>
      <c r="AS33" s="24" t="n">
        <f aca="false">IF(AS4&lt;=12,0,IF(INDEX($C32:$BJ32,AS4-12)=0,0,AS32/INDEX($C32:$BJ32,AS4-12)-1))</f>
        <v>0.0932348063922639</v>
      </c>
      <c r="AT33" s="24" t="n">
        <f aca="false">IF(AT4&lt;=12,0,IF(INDEX($C32:$BJ32,AT4-12)=0,0,AT32/INDEX($C32:$BJ32,AT4-12)-1))</f>
        <v>0.0932348063922639</v>
      </c>
      <c r="AU33" s="24" t="n">
        <f aca="false">IF(AU4&lt;=12,0,IF(INDEX($C32:$BJ32,AU4-12)=0,0,AU32/INDEX($C32:$BJ32,AU4-12)-1))</f>
        <v>0.0932348063922639</v>
      </c>
      <c r="AV33" s="24" t="n">
        <f aca="false">IF(AV4&lt;=12,0,IF(INDEX($C32:$BJ32,AV4-12)=0,0,AV32/INDEX($C32:$BJ32,AV4-12)-1))</f>
        <v>0.0932348063922639</v>
      </c>
      <c r="AW33" s="24" t="n">
        <f aca="false">IF(AW4&lt;=12,0,IF(INDEX($C32:$BJ32,AW4-12)=0,0,AW32/INDEX($C32:$BJ32,AW4-12)-1))</f>
        <v>0.0932348063922637</v>
      </c>
      <c r="AX33" s="24" t="n">
        <f aca="false">IF(AX4&lt;=12,0,IF(INDEX($C32:$BJ32,AX4-12)=0,0,AX32/INDEX($C32:$BJ32,AX4-12)-1))</f>
        <v>0.0932348063922637</v>
      </c>
      <c r="AY33" s="24" t="n">
        <f aca="false">IF(AY4&lt;=12,0,IF(INDEX($C32:$BJ32,AY4-12)=0,0,AY32/INDEX($C32:$BJ32,AY4-12)-1))</f>
        <v>0.0935920905001775</v>
      </c>
      <c r="AZ33" s="24" t="n">
        <f aca="false">IF(AZ4&lt;=12,0,IF(INDEX($C32:$BJ32,AZ4-12)=0,0,AZ32/INDEX($C32:$BJ32,AZ4-12)-1))</f>
        <v>0.0935920905001775</v>
      </c>
      <c r="BA33" s="24" t="n">
        <f aca="false">IF(BA4&lt;=12,0,IF(INDEX($C32:$BJ32,BA4-12)=0,0,BA32/INDEX($C32:$BJ32,BA4-12)-1))</f>
        <v>0.0935920905001775</v>
      </c>
      <c r="BB33" s="24" t="n">
        <f aca="false">IF(BB4&lt;=12,0,IF(INDEX($C32:$BJ32,BB4-12)=0,0,BB32/INDEX($C32:$BJ32,BB4-12)-1))</f>
        <v>0.0935920905001777</v>
      </c>
      <c r="BC33" s="24" t="n">
        <f aca="false">IF(BC4&lt;=12,0,IF(INDEX($C32:$BJ32,BC4-12)=0,0,BC32/INDEX($C32:$BJ32,BC4-12)-1))</f>
        <v>0.0935920905001775</v>
      </c>
      <c r="BD33" s="24" t="n">
        <f aca="false">IF(BD4&lt;=12,0,IF(INDEX($C32:$BJ32,BD4-12)=0,0,BD32/INDEX($C32:$BJ32,BD4-12)-1))</f>
        <v>0.0935920905001775</v>
      </c>
      <c r="BE33" s="24" t="n">
        <f aca="false">IF(BE4&lt;=12,0,IF(INDEX($C32:$BJ32,BE4-12)=0,0,BE32/INDEX($C32:$BJ32,BE4-12)-1))</f>
        <v>0.0935920905001777</v>
      </c>
      <c r="BF33" s="24" t="n">
        <f aca="false">IF(BF4&lt;=12,0,IF(INDEX($C32:$BJ32,BF4-12)=0,0,BF32/INDEX($C32:$BJ32,BF4-12)-1))</f>
        <v>0.0935920905001775</v>
      </c>
      <c r="BG33" s="24" t="n">
        <f aca="false">IF(BG4&lt;=12,0,IF(INDEX($C32:$BJ32,BG4-12)=0,0,BG32/INDEX($C32:$BJ32,BG4-12)-1))</f>
        <v>0.0935920905001775</v>
      </c>
      <c r="BH33" s="24" t="n">
        <f aca="false">IF(BH4&lt;=12,0,IF(INDEX($C32:$BJ32,BH4-12)=0,0,BH32/INDEX($C32:$BJ32,BH4-12)-1))</f>
        <v>0.0935920905001775</v>
      </c>
      <c r="BI33" s="24" t="n">
        <f aca="false">IF(BI4&lt;=12,0,IF(INDEX($C32:$BJ32,BI4-12)=0,0,BI32/INDEX($C32:$BJ32,BI4-12)-1))</f>
        <v>0.0935920905001777</v>
      </c>
      <c r="BJ33" s="24" t="n">
        <f aca="false">IF(BJ4&lt;=12,0,IF(INDEX($C32:$BJ32,BJ4-12)=0,0,BJ32/INDEX($C32:$BJ32,BJ4-12)-1))</f>
        <v>0.0935920905001777</v>
      </c>
    </row>
  </sheetData>
  <printOptions headings="false" gridLines="false" gridLinesSet="true" horizontalCentered="false" verticalCentered="false"/>
  <pageMargins left="0.75" right="0.75" top="1" bottom="1" header="0.511811023622047" footer="0.511811023622047"/>
  <pageSetup paperSize="1" scale="100" fitToWidth="6" fitToHeight="1"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O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2" min="2" style="0" width="10"/>
    <col collapsed="false" customWidth="true" hidden="false" outlineLevel="0" max="62" min="3" style="0" width="11"/>
    <col collapsed="false" customWidth="true" hidden="false" outlineLevel="0" max="67" min="63" style="0" width="13"/>
  </cols>
  <sheetData>
    <row r="1" customFormat="false" ht="17.35" hidden="false" customHeight="false" outlineLevel="0" collapsed="false">
      <c r="A1" s="1" t="s">
        <v>231</v>
      </c>
    </row>
    <row r="2" customFormat="false" ht="15" hidden="false" customHeight="false" outlineLevel="0" collapsed="false">
      <c r="A2" s="2" t="s">
        <v>232</v>
      </c>
    </row>
    <row r="4" customFormat="false" ht="15" hidden="false" customHeight="false" outlineLevel="0" collapsed="false">
      <c r="A4" s="13" t="s">
        <v>216</v>
      </c>
      <c r="C4" s="28" t="n">
        <v>1</v>
      </c>
      <c r="D4" s="28" t="n">
        <v>2</v>
      </c>
      <c r="E4" s="28" t="n">
        <v>3</v>
      </c>
      <c r="F4" s="28" t="n">
        <v>4</v>
      </c>
      <c r="G4" s="28" t="n">
        <v>5</v>
      </c>
      <c r="H4" s="28" t="n">
        <v>6</v>
      </c>
      <c r="I4" s="28" t="n">
        <v>7</v>
      </c>
      <c r="J4" s="28" t="n">
        <v>8</v>
      </c>
      <c r="K4" s="28" t="n">
        <v>9</v>
      </c>
      <c r="L4" s="28" t="n">
        <v>10</v>
      </c>
      <c r="M4" s="28" t="n">
        <v>11</v>
      </c>
      <c r="N4" s="28" t="n">
        <v>12</v>
      </c>
      <c r="O4" s="28" t="n">
        <v>13</v>
      </c>
      <c r="P4" s="28" t="n">
        <v>14</v>
      </c>
      <c r="Q4" s="28" t="n">
        <v>15</v>
      </c>
      <c r="R4" s="28" t="n">
        <v>16</v>
      </c>
      <c r="S4" s="28" t="n">
        <v>17</v>
      </c>
      <c r="T4" s="28" t="n">
        <v>18</v>
      </c>
      <c r="U4" s="28" t="n">
        <v>19</v>
      </c>
      <c r="V4" s="28" t="n">
        <v>20</v>
      </c>
      <c r="W4" s="28" t="n">
        <v>21</v>
      </c>
      <c r="X4" s="28" t="n">
        <v>22</v>
      </c>
      <c r="Y4" s="28" t="n">
        <v>23</v>
      </c>
      <c r="Z4" s="28" t="n">
        <v>24</v>
      </c>
      <c r="AA4" s="28" t="n">
        <v>25</v>
      </c>
      <c r="AB4" s="28" t="n">
        <v>26</v>
      </c>
      <c r="AC4" s="28" t="n">
        <v>27</v>
      </c>
      <c r="AD4" s="28" t="n">
        <v>28</v>
      </c>
      <c r="AE4" s="28" t="n">
        <v>29</v>
      </c>
      <c r="AF4" s="28" t="n">
        <v>30</v>
      </c>
      <c r="AG4" s="28" t="n">
        <v>31</v>
      </c>
      <c r="AH4" s="28" t="n">
        <v>32</v>
      </c>
      <c r="AI4" s="28" t="n">
        <v>33</v>
      </c>
      <c r="AJ4" s="28" t="n">
        <v>34</v>
      </c>
      <c r="AK4" s="28" t="n">
        <v>35</v>
      </c>
      <c r="AL4" s="28" t="n">
        <v>36</v>
      </c>
      <c r="AM4" s="28" t="n">
        <v>37</v>
      </c>
      <c r="AN4" s="28" t="n">
        <v>38</v>
      </c>
      <c r="AO4" s="28" t="n">
        <v>39</v>
      </c>
      <c r="AP4" s="28" t="n">
        <v>40</v>
      </c>
      <c r="AQ4" s="28" t="n">
        <v>41</v>
      </c>
      <c r="AR4" s="28" t="n">
        <v>42</v>
      </c>
      <c r="AS4" s="28" t="n">
        <v>43</v>
      </c>
      <c r="AT4" s="28" t="n">
        <v>44</v>
      </c>
      <c r="AU4" s="28" t="n">
        <v>45</v>
      </c>
      <c r="AV4" s="28" t="n">
        <v>46</v>
      </c>
      <c r="AW4" s="28" t="n">
        <v>47</v>
      </c>
      <c r="AX4" s="28" t="n">
        <v>48</v>
      </c>
      <c r="AY4" s="28" t="n">
        <v>49</v>
      </c>
      <c r="AZ4" s="28" t="n">
        <v>50</v>
      </c>
      <c r="BA4" s="28" t="n">
        <v>51</v>
      </c>
      <c r="BB4" s="28" t="n">
        <v>52</v>
      </c>
      <c r="BC4" s="28" t="n">
        <v>53</v>
      </c>
      <c r="BD4" s="28" t="n">
        <v>54</v>
      </c>
      <c r="BE4" s="28" t="n">
        <v>55</v>
      </c>
      <c r="BF4" s="28" t="n">
        <v>56</v>
      </c>
      <c r="BG4" s="28" t="n">
        <v>57</v>
      </c>
      <c r="BH4" s="28" t="n">
        <v>58</v>
      </c>
      <c r="BI4" s="28" t="n">
        <v>59</v>
      </c>
      <c r="BJ4" s="28" t="n">
        <v>60</v>
      </c>
      <c r="BK4" s="29" t="s">
        <v>217</v>
      </c>
      <c r="BL4" s="29" t="s">
        <v>217</v>
      </c>
      <c r="BM4" s="29" t="s">
        <v>217</v>
      </c>
      <c r="BN4" s="29" t="s">
        <v>217</v>
      </c>
      <c r="BO4" s="29" t="s">
        <v>217</v>
      </c>
    </row>
    <row r="5" customFormat="false" ht="15" hidden="false" customHeight="false" outlineLevel="0" collapsed="false">
      <c r="A5" s="13" t="s">
        <v>218</v>
      </c>
      <c r="C5" s="30" t="n">
        <f aca="false">INT((C4-1)/12)+1</f>
        <v>1</v>
      </c>
      <c r="D5" s="30" t="n">
        <f aca="false">INT((D4-1)/12)+1</f>
        <v>1</v>
      </c>
      <c r="E5" s="30" t="n">
        <f aca="false">INT((E4-1)/12)+1</f>
        <v>1</v>
      </c>
      <c r="F5" s="30" t="n">
        <f aca="false">INT((F4-1)/12)+1</f>
        <v>1</v>
      </c>
      <c r="G5" s="30" t="n">
        <f aca="false">INT((G4-1)/12)+1</f>
        <v>1</v>
      </c>
      <c r="H5" s="30" t="n">
        <f aca="false">INT((H4-1)/12)+1</f>
        <v>1</v>
      </c>
      <c r="I5" s="30" t="n">
        <f aca="false">INT((I4-1)/12)+1</f>
        <v>1</v>
      </c>
      <c r="J5" s="30" t="n">
        <f aca="false">INT((J4-1)/12)+1</f>
        <v>1</v>
      </c>
      <c r="K5" s="30" t="n">
        <f aca="false">INT((K4-1)/12)+1</f>
        <v>1</v>
      </c>
      <c r="L5" s="30" t="n">
        <f aca="false">INT((L4-1)/12)+1</f>
        <v>1</v>
      </c>
      <c r="M5" s="30" t="n">
        <f aca="false">INT((M4-1)/12)+1</f>
        <v>1</v>
      </c>
      <c r="N5" s="30" t="n">
        <f aca="false">INT((N4-1)/12)+1</f>
        <v>1</v>
      </c>
      <c r="O5" s="30" t="n">
        <f aca="false">INT((O4-1)/12)+1</f>
        <v>2</v>
      </c>
      <c r="P5" s="30" t="n">
        <f aca="false">INT((P4-1)/12)+1</f>
        <v>2</v>
      </c>
      <c r="Q5" s="30" t="n">
        <f aca="false">INT((Q4-1)/12)+1</f>
        <v>2</v>
      </c>
      <c r="R5" s="30" t="n">
        <f aca="false">INT((R4-1)/12)+1</f>
        <v>2</v>
      </c>
      <c r="S5" s="30" t="n">
        <f aca="false">INT((S4-1)/12)+1</f>
        <v>2</v>
      </c>
      <c r="T5" s="30" t="n">
        <f aca="false">INT((T4-1)/12)+1</f>
        <v>2</v>
      </c>
      <c r="U5" s="30" t="n">
        <f aca="false">INT((U4-1)/12)+1</f>
        <v>2</v>
      </c>
      <c r="V5" s="30" t="n">
        <f aca="false">INT((V4-1)/12)+1</f>
        <v>2</v>
      </c>
      <c r="W5" s="30" t="n">
        <f aca="false">INT((W4-1)/12)+1</f>
        <v>2</v>
      </c>
      <c r="X5" s="30" t="n">
        <f aca="false">INT((X4-1)/12)+1</f>
        <v>2</v>
      </c>
      <c r="Y5" s="30" t="n">
        <f aca="false">INT((Y4-1)/12)+1</f>
        <v>2</v>
      </c>
      <c r="Z5" s="30" t="n">
        <f aca="false">INT((Z4-1)/12)+1</f>
        <v>2</v>
      </c>
      <c r="AA5" s="30" t="n">
        <f aca="false">INT((AA4-1)/12)+1</f>
        <v>3</v>
      </c>
      <c r="AB5" s="30" t="n">
        <f aca="false">INT((AB4-1)/12)+1</f>
        <v>3</v>
      </c>
      <c r="AC5" s="30" t="n">
        <f aca="false">INT((AC4-1)/12)+1</f>
        <v>3</v>
      </c>
      <c r="AD5" s="30" t="n">
        <f aca="false">INT((AD4-1)/12)+1</f>
        <v>3</v>
      </c>
      <c r="AE5" s="30" t="n">
        <f aca="false">INT((AE4-1)/12)+1</f>
        <v>3</v>
      </c>
      <c r="AF5" s="30" t="n">
        <f aca="false">INT((AF4-1)/12)+1</f>
        <v>3</v>
      </c>
      <c r="AG5" s="30" t="n">
        <f aca="false">INT((AG4-1)/12)+1</f>
        <v>3</v>
      </c>
      <c r="AH5" s="30" t="n">
        <f aca="false">INT((AH4-1)/12)+1</f>
        <v>3</v>
      </c>
      <c r="AI5" s="30" t="n">
        <f aca="false">INT((AI4-1)/12)+1</f>
        <v>3</v>
      </c>
      <c r="AJ5" s="30" t="n">
        <f aca="false">INT((AJ4-1)/12)+1</f>
        <v>3</v>
      </c>
      <c r="AK5" s="30" t="n">
        <f aca="false">INT((AK4-1)/12)+1</f>
        <v>3</v>
      </c>
      <c r="AL5" s="30" t="n">
        <f aca="false">INT((AL4-1)/12)+1</f>
        <v>3</v>
      </c>
      <c r="AM5" s="30" t="n">
        <f aca="false">INT((AM4-1)/12)+1</f>
        <v>4</v>
      </c>
      <c r="AN5" s="30" t="n">
        <f aca="false">INT((AN4-1)/12)+1</f>
        <v>4</v>
      </c>
      <c r="AO5" s="30" t="n">
        <f aca="false">INT((AO4-1)/12)+1</f>
        <v>4</v>
      </c>
      <c r="AP5" s="30" t="n">
        <f aca="false">INT((AP4-1)/12)+1</f>
        <v>4</v>
      </c>
      <c r="AQ5" s="30" t="n">
        <f aca="false">INT((AQ4-1)/12)+1</f>
        <v>4</v>
      </c>
      <c r="AR5" s="30" t="n">
        <f aca="false">INT((AR4-1)/12)+1</f>
        <v>4</v>
      </c>
      <c r="AS5" s="30" t="n">
        <f aca="false">INT((AS4-1)/12)+1</f>
        <v>4</v>
      </c>
      <c r="AT5" s="30" t="n">
        <f aca="false">INT((AT4-1)/12)+1</f>
        <v>4</v>
      </c>
      <c r="AU5" s="30" t="n">
        <f aca="false">INT((AU4-1)/12)+1</f>
        <v>4</v>
      </c>
      <c r="AV5" s="30" t="n">
        <f aca="false">INT((AV4-1)/12)+1</f>
        <v>4</v>
      </c>
      <c r="AW5" s="30" t="n">
        <f aca="false">INT((AW4-1)/12)+1</f>
        <v>4</v>
      </c>
      <c r="AX5" s="30" t="n">
        <f aca="false">INT((AX4-1)/12)+1</f>
        <v>4</v>
      </c>
      <c r="AY5" s="30" t="n">
        <f aca="false">INT((AY4-1)/12)+1</f>
        <v>5</v>
      </c>
      <c r="AZ5" s="30" t="n">
        <f aca="false">INT((AZ4-1)/12)+1</f>
        <v>5</v>
      </c>
      <c r="BA5" s="30" t="n">
        <f aca="false">INT((BA4-1)/12)+1</f>
        <v>5</v>
      </c>
      <c r="BB5" s="30" t="n">
        <f aca="false">INT((BB4-1)/12)+1</f>
        <v>5</v>
      </c>
      <c r="BC5" s="30" t="n">
        <f aca="false">INT((BC4-1)/12)+1</f>
        <v>5</v>
      </c>
      <c r="BD5" s="30" t="n">
        <f aca="false">INT((BD4-1)/12)+1</f>
        <v>5</v>
      </c>
      <c r="BE5" s="30" t="n">
        <f aca="false">INT((BE4-1)/12)+1</f>
        <v>5</v>
      </c>
      <c r="BF5" s="30" t="n">
        <f aca="false">INT((BF4-1)/12)+1</f>
        <v>5</v>
      </c>
      <c r="BG5" s="30" t="n">
        <f aca="false">INT((BG4-1)/12)+1</f>
        <v>5</v>
      </c>
      <c r="BH5" s="30" t="n">
        <f aca="false">INT((BH4-1)/12)+1</f>
        <v>5</v>
      </c>
      <c r="BI5" s="30" t="n">
        <f aca="false">INT((BI4-1)/12)+1</f>
        <v>5</v>
      </c>
      <c r="BJ5" s="30" t="n">
        <f aca="false">INT((BJ4-1)/12)+1</f>
        <v>5</v>
      </c>
      <c r="BK5" s="28" t="n">
        <v>1</v>
      </c>
      <c r="BL5" s="28" t="n">
        <v>2</v>
      </c>
      <c r="BM5" s="28" t="n">
        <v>3</v>
      </c>
      <c r="BN5" s="28" t="n">
        <v>4</v>
      </c>
      <c r="BO5" s="28" t="n">
        <v>5</v>
      </c>
    </row>
    <row r="6" customFormat="false" ht="15" hidden="false" customHeight="false" outlineLevel="0" collapsed="false">
      <c r="A6" s="5" t="s">
        <v>219</v>
      </c>
      <c r="B6" s="5" t="s">
        <v>74</v>
      </c>
      <c r="C6" s="31" t="n">
        <f aca="false">EDATE(Assumptions!$C$7,C4-1)</f>
        <v>46388</v>
      </c>
      <c r="D6" s="31" t="n">
        <f aca="false">EDATE(Assumptions!$C$7,D4-1)</f>
        <v>46419</v>
      </c>
      <c r="E6" s="31" t="n">
        <f aca="false">EDATE(Assumptions!$C$7,E4-1)</f>
        <v>46447</v>
      </c>
      <c r="F6" s="31" t="n">
        <f aca="false">EDATE(Assumptions!$C$7,F4-1)</f>
        <v>46478</v>
      </c>
      <c r="G6" s="31" t="n">
        <f aca="false">EDATE(Assumptions!$C$7,G4-1)</f>
        <v>46508</v>
      </c>
      <c r="H6" s="31" t="n">
        <f aca="false">EDATE(Assumptions!$C$7,H4-1)</f>
        <v>46539</v>
      </c>
      <c r="I6" s="31" t="n">
        <f aca="false">EDATE(Assumptions!$C$7,I4-1)</f>
        <v>46569</v>
      </c>
      <c r="J6" s="31" t="n">
        <f aca="false">EDATE(Assumptions!$C$7,J4-1)</f>
        <v>46600</v>
      </c>
      <c r="K6" s="31" t="n">
        <f aca="false">EDATE(Assumptions!$C$7,K4-1)</f>
        <v>46631</v>
      </c>
      <c r="L6" s="31" t="n">
        <f aca="false">EDATE(Assumptions!$C$7,L4-1)</f>
        <v>46661</v>
      </c>
      <c r="M6" s="31" t="n">
        <f aca="false">EDATE(Assumptions!$C$7,M4-1)</f>
        <v>46692</v>
      </c>
      <c r="N6" s="31" t="n">
        <f aca="false">EDATE(Assumptions!$C$7,N4-1)</f>
        <v>46722</v>
      </c>
      <c r="O6" s="31" t="n">
        <f aca="false">EDATE(Assumptions!$C$7,O4-1)</f>
        <v>46753</v>
      </c>
      <c r="P6" s="31" t="n">
        <f aca="false">EDATE(Assumptions!$C$7,P4-1)</f>
        <v>46784</v>
      </c>
      <c r="Q6" s="31" t="n">
        <f aca="false">EDATE(Assumptions!$C$7,Q4-1)</f>
        <v>46813</v>
      </c>
      <c r="R6" s="31" t="n">
        <f aca="false">EDATE(Assumptions!$C$7,R4-1)</f>
        <v>46844</v>
      </c>
      <c r="S6" s="31" t="n">
        <f aca="false">EDATE(Assumptions!$C$7,S4-1)</f>
        <v>46874</v>
      </c>
      <c r="T6" s="31" t="n">
        <f aca="false">EDATE(Assumptions!$C$7,T4-1)</f>
        <v>46905</v>
      </c>
      <c r="U6" s="31" t="n">
        <f aca="false">EDATE(Assumptions!$C$7,U4-1)</f>
        <v>46935</v>
      </c>
      <c r="V6" s="31" t="n">
        <f aca="false">EDATE(Assumptions!$C$7,V4-1)</f>
        <v>46966</v>
      </c>
      <c r="W6" s="31" t="n">
        <f aca="false">EDATE(Assumptions!$C$7,W4-1)</f>
        <v>46997</v>
      </c>
      <c r="X6" s="31" t="n">
        <f aca="false">EDATE(Assumptions!$C$7,X4-1)</f>
        <v>47027</v>
      </c>
      <c r="Y6" s="31" t="n">
        <f aca="false">EDATE(Assumptions!$C$7,Y4-1)</f>
        <v>47058</v>
      </c>
      <c r="Z6" s="31" t="n">
        <f aca="false">EDATE(Assumptions!$C$7,Z4-1)</f>
        <v>47088</v>
      </c>
      <c r="AA6" s="31" t="n">
        <f aca="false">EDATE(Assumptions!$C$7,AA4-1)</f>
        <v>47119</v>
      </c>
      <c r="AB6" s="31" t="n">
        <f aca="false">EDATE(Assumptions!$C$7,AB4-1)</f>
        <v>47150</v>
      </c>
      <c r="AC6" s="31" t="n">
        <f aca="false">EDATE(Assumptions!$C$7,AC4-1)</f>
        <v>47178</v>
      </c>
      <c r="AD6" s="31" t="n">
        <f aca="false">EDATE(Assumptions!$C$7,AD4-1)</f>
        <v>47209</v>
      </c>
      <c r="AE6" s="31" t="n">
        <f aca="false">EDATE(Assumptions!$C$7,AE4-1)</f>
        <v>47239</v>
      </c>
      <c r="AF6" s="31" t="n">
        <f aca="false">EDATE(Assumptions!$C$7,AF4-1)</f>
        <v>47270</v>
      </c>
      <c r="AG6" s="31" t="n">
        <f aca="false">EDATE(Assumptions!$C$7,AG4-1)</f>
        <v>47300</v>
      </c>
      <c r="AH6" s="31" t="n">
        <f aca="false">EDATE(Assumptions!$C$7,AH4-1)</f>
        <v>47331</v>
      </c>
      <c r="AI6" s="31" t="n">
        <f aca="false">EDATE(Assumptions!$C$7,AI4-1)</f>
        <v>47362</v>
      </c>
      <c r="AJ6" s="31" t="n">
        <f aca="false">EDATE(Assumptions!$C$7,AJ4-1)</f>
        <v>47392</v>
      </c>
      <c r="AK6" s="31" t="n">
        <f aca="false">EDATE(Assumptions!$C$7,AK4-1)</f>
        <v>47423</v>
      </c>
      <c r="AL6" s="31" t="n">
        <f aca="false">EDATE(Assumptions!$C$7,AL4-1)</f>
        <v>47453</v>
      </c>
      <c r="AM6" s="31" t="n">
        <f aca="false">EDATE(Assumptions!$C$7,AM4-1)</f>
        <v>47484</v>
      </c>
      <c r="AN6" s="31" t="n">
        <f aca="false">EDATE(Assumptions!$C$7,AN4-1)</f>
        <v>47515</v>
      </c>
      <c r="AO6" s="31" t="n">
        <f aca="false">EDATE(Assumptions!$C$7,AO4-1)</f>
        <v>47543</v>
      </c>
      <c r="AP6" s="31" t="n">
        <f aca="false">EDATE(Assumptions!$C$7,AP4-1)</f>
        <v>47574</v>
      </c>
      <c r="AQ6" s="31" t="n">
        <f aca="false">EDATE(Assumptions!$C$7,AQ4-1)</f>
        <v>47604</v>
      </c>
      <c r="AR6" s="31" t="n">
        <f aca="false">EDATE(Assumptions!$C$7,AR4-1)</f>
        <v>47635</v>
      </c>
      <c r="AS6" s="31" t="n">
        <f aca="false">EDATE(Assumptions!$C$7,AS4-1)</f>
        <v>47665</v>
      </c>
      <c r="AT6" s="31" t="n">
        <f aca="false">EDATE(Assumptions!$C$7,AT4-1)</f>
        <v>47696</v>
      </c>
      <c r="AU6" s="31" t="n">
        <f aca="false">EDATE(Assumptions!$C$7,AU4-1)</f>
        <v>47727</v>
      </c>
      <c r="AV6" s="31" t="n">
        <f aca="false">EDATE(Assumptions!$C$7,AV4-1)</f>
        <v>47757</v>
      </c>
      <c r="AW6" s="31" t="n">
        <f aca="false">EDATE(Assumptions!$C$7,AW4-1)</f>
        <v>47788</v>
      </c>
      <c r="AX6" s="31" t="n">
        <f aca="false">EDATE(Assumptions!$C$7,AX4-1)</f>
        <v>47818</v>
      </c>
      <c r="AY6" s="31" t="n">
        <f aca="false">EDATE(Assumptions!$C$7,AY4-1)</f>
        <v>47849</v>
      </c>
      <c r="AZ6" s="31" t="n">
        <f aca="false">EDATE(Assumptions!$C$7,AZ4-1)</f>
        <v>47880</v>
      </c>
      <c r="BA6" s="31" t="n">
        <f aca="false">EDATE(Assumptions!$C$7,BA4-1)</f>
        <v>47908</v>
      </c>
      <c r="BB6" s="31" t="n">
        <f aca="false">EDATE(Assumptions!$C$7,BB4-1)</f>
        <v>47939</v>
      </c>
      <c r="BC6" s="31" t="n">
        <f aca="false">EDATE(Assumptions!$C$7,BC4-1)</f>
        <v>47969</v>
      </c>
      <c r="BD6" s="31" t="n">
        <f aca="false">EDATE(Assumptions!$C$7,BD4-1)</f>
        <v>48000</v>
      </c>
      <c r="BE6" s="31" t="n">
        <f aca="false">EDATE(Assumptions!$C$7,BE4-1)</f>
        <v>48030</v>
      </c>
      <c r="BF6" s="31" t="n">
        <f aca="false">EDATE(Assumptions!$C$7,BF4-1)</f>
        <v>48061</v>
      </c>
      <c r="BG6" s="31" t="n">
        <f aca="false">EDATE(Assumptions!$C$7,BG4-1)</f>
        <v>48092</v>
      </c>
      <c r="BH6" s="31" t="n">
        <f aca="false">EDATE(Assumptions!$C$7,BH4-1)</f>
        <v>48122</v>
      </c>
      <c r="BI6" s="31" t="n">
        <f aca="false">EDATE(Assumptions!$C$7,BI4-1)</f>
        <v>48153</v>
      </c>
      <c r="BJ6" s="31" t="n">
        <f aca="false">EDATE(Assumptions!$C$7,BJ4-1)</f>
        <v>48183</v>
      </c>
      <c r="BK6" s="32" t="s">
        <v>54</v>
      </c>
      <c r="BL6" s="32" t="s">
        <v>55</v>
      </c>
      <c r="BM6" s="32" t="s">
        <v>56</v>
      </c>
      <c r="BN6" s="32" t="s">
        <v>220</v>
      </c>
      <c r="BO6" s="32" t="s">
        <v>221</v>
      </c>
    </row>
    <row r="7" customFormat="false" ht="15" hidden="false" customHeight="false" outlineLevel="0" collapsed="false">
      <c r="A7" s="18" t="str">
        <f aca="false">"Line 1 direct costs: "&amp;Assumptions!$B$13</f>
        <v>Line 1 direct costs: Service line A — projects (example)</v>
      </c>
      <c r="B7" s="2"/>
      <c r="C7" s="14" t="n">
        <f aca="false">Revenue!C14*Assumptions!$G$13</f>
        <v>2531.25</v>
      </c>
      <c r="D7" s="14" t="n">
        <f aca="false">Revenue!D14*Assumptions!$G$13</f>
        <v>3037.5</v>
      </c>
      <c r="E7" s="14" t="n">
        <f aca="false">Revenue!E14*Assumptions!$G$13</f>
        <v>3937.5</v>
      </c>
      <c r="F7" s="14" t="n">
        <f aca="false">Revenue!F14*Assumptions!$G$13</f>
        <v>4725</v>
      </c>
      <c r="G7" s="14" t="n">
        <f aca="false">Revenue!G14*Assumptions!$G$13</f>
        <v>5568.75</v>
      </c>
      <c r="H7" s="14" t="n">
        <f aca="false">Revenue!H14*Assumptions!$G$13</f>
        <v>6187.5</v>
      </c>
      <c r="I7" s="14" t="n">
        <f aca="false">Revenue!I14*Assumptions!$G$13</f>
        <v>5906.25</v>
      </c>
      <c r="J7" s="14" t="n">
        <f aca="false">Revenue!J14*Assumptions!$G$13</f>
        <v>5625</v>
      </c>
      <c r="K7" s="14" t="n">
        <f aca="false">Revenue!K14*Assumptions!$G$13</f>
        <v>5625</v>
      </c>
      <c r="L7" s="14" t="n">
        <f aca="false">Revenue!L14*Assumptions!$G$13</f>
        <v>5625</v>
      </c>
      <c r="M7" s="14" t="n">
        <f aca="false">Revenue!M14*Assumptions!$G$13</f>
        <v>5343.75</v>
      </c>
      <c r="N7" s="14" t="n">
        <f aca="false">Revenue!N14*Assumptions!$G$13</f>
        <v>5343.75</v>
      </c>
      <c r="O7" s="14" t="n">
        <f aca="false">Revenue!O14*Assumptions!$G$13</f>
        <v>5527.2375</v>
      </c>
      <c r="P7" s="14" t="n">
        <f aca="false">Revenue!P14*Assumptions!$G$13</f>
        <v>5527.2375</v>
      </c>
      <c r="Q7" s="14" t="n">
        <f aca="false">Revenue!Q14*Assumptions!$G$13</f>
        <v>6141.375</v>
      </c>
      <c r="R7" s="14" t="n">
        <f aca="false">Revenue!R14*Assumptions!$G$13</f>
        <v>6448.44375</v>
      </c>
      <c r="S7" s="14" t="n">
        <f aca="false">Revenue!S14*Assumptions!$G$13</f>
        <v>6755.5125</v>
      </c>
      <c r="T7" s="14" t="n">
        <f aca="false">Revenue!T14*Assumptions!$G$13</f>
        <v>6755.5125</v>
      </c>
      <c r="U7" s="14" t="n">
        <f aca="false">Revenue!U14*Assumptions!$G$13</f>
        <v>6448.44375</v>
      </c>
      <c r="V7" s="14" t="n">
        <f aca="false">Revenue!V14*Assumptions!$G$13</f>
        <v>6141.375</v>
      </c>
      <c r="W7" s="14" t="n">
        <f aca="false">Revenue!W14*Assumptions!$G$13</f>
        <v>6141.375</v>
      </c>
      <c r="X7" s="14" t="n">
        <f aca="false">Revenue!X14*Assumptions!$G$13</f>
        <v>6141.375</v>
      </c>
      <c r="Y7" s="14" t="n">
        <f aca="false">Revenue!Y14*Assumptions!$G$13</f>
        <v>5834.30625</v>
      </c>
      <c r="Z7" s="14" t="n">
        <f aca="false">Revenue!Z14*Assumptions!$G$13</f>
        <v>5834.30625</v>
      </c>
      <c r="AA7" s="14" t="n">
        <f aca="false">Revenue!AA14*Assumptions!$G$13</f>
        <v>6034.6379025</v>
      </c>
      <c r="AB7" s="14" t="n">
        <f aca="false">Revenue!AB14*Assumptions!$G$13</f>
        <v>6034.6379025</v>
      </c>
      <c r="AC7" s="14" t="n">
        <f aca="false">Revenue!AC14*Assumptions!$G$13</f>
        <v>6705.153225</v>
      </c>
      <c r="AD7" s="14" t="n">
        <f aca="false">Revenue!AD14*Assumptions!$G$13</f>
        <v>7040.41088625</v>
      </c>
      <c r="AE7" s="14" t="n">
        <f aca="false">Revenue!AE14*Assumptions!$G$13</f>
        <v>7375.6685475</v>
      </c>
      <c r="AF7" s="14" t="n">
        <f aca="false">Revenue!AF14*Assumptions!$G$13</f>
        <v>7375.6685475</v>
      </c>
      <c r="AG7" s="14" t="n">
        <f aca="false">Revenue!AG14*Assumptions!$G$13</f>
        <v>7040.41088625</v>
      </c>
      <c r="AH7" s="14" t="n">
        <f aca="false">Revenue!AH14*Assumptions!$G$13</f>
        <v>6705.153225</v>
      </c>
      <c r="AI7" s="14" t="n">
        <f aca="false">Revenue!AI14*Assumptions!$G$13</f>
        <v>6705.153225</v>
      </c>
      <c r="AJ7" s="14" t="n">
        <f aca="false">Revenue!AJ14*Assumptions!$G$13</f>
        <v>6705.153225</v>
      </c>
      <c r="AK7" s="14" t="n">
        <f aca="false">Revenue!AK14*Assumptions!$G$13</f>
        <v>6369.89556375</v>
      </c>
      <c r="AL7" s="14" t="n">
        <f aca="false">Revenue!AL14*Assumptions!$G$13</f>
        <v>6369.89556375</v>
      </c>
      <c r="AM7" s="14" t="n">
        <f aca="false">Revenue!AM14*Assumptions!$G$13</f>
        <v>6588.6176619495</v>
      </c>
      <c r="AN7" s="14" t="n">
        <f aca="false">Revenue!AN14*Assumptions!$G$13</f>
        <v>6588.6176619495</v>
      </c>
      <c r="AO7" s="14" t="n">
        <f aca="false">Revenue!AO14*Assumptions!$G$13</f>
        <v>7320.686291055</v>
      </c>
      <c r="AP7" s="14" t="n">
        <f aca="false">Revenue!AP14*Assumptions!$G$13</f>
        <v>7686.72060560775</v>
      </c>
      <c r="AQ7" s="14" t="n">
        <f aca="false">Revenue!AQ14*Assumptions!$G$13</f>
        <v>8052.7549201605</v>
      </c>
      <c r="AR7" s="14" t="n">
        <f aca="false">Revenue!AR14*Assumptions!$G$13</f>
        <v>8052.7549201605</v>
      </c>
      <c r="AS7" s="14" t="n">
        <f aca="false">Revenue!AS14*Assumptions!$G$13</f>
        <v>7686.72060560775</v>
      </c>
      <c r="AT7" s="14" t="n">
        <f aca="false">Revenue!AT14*Assumptions!$G$13</f>
        <v>7320.686291055</v>
      </c>
      <c r="AU7" s="14" t="n">
        <f aca="false">Revenue!AU14*Assumptions!$G$13</f>
        <v>7320.686291055</v>
      </c>
      <c r="AV7" s="14" t="n">
        <f aca="false">Revenue!AV14*Assumptions!$G$13</f>
        <v>7320.686291055</v>
      </c>
      <c r="AW7" s="14" t="n">
        <f aca="false">Revenue!AW14*Assumptions!$G$13</f>
        <v>6954.65197650225</v>
      </c>
      <c r="AX7" s="14" t="n">
        <f aca="false">Revenue!AX14*Assumptions!$G$13</f>
        <v>6954.65197650225</v>
      </c>
      <c r="AY7" s="14" t="n">
        <f aca="false">Revenue!AY14*Assumptions!$G$13</f>
        <v>7193.45276331647</v>
      </c>
      <c r="AZ7" s="14" t="n">
        <f aca="false">Revenue!AZ14*Assumptions!$G$13</f>
        <v>7193.45276331647</v>
      </c>
      <c r="BA7" s="14" t="n">
        <f aca="false">Revenue!BA14*Assumptions!$G$13</f>
        <v>7992.72529257385</v>
      </c>
      <c r="BB7" s="14" t="n">
        <f aca="false">Revenue!BB14*Assumptions!$G$13</f>
        <v>8392.36155720255</v>
      </c>
      <c r="BC7" s="14" t="n">
        <f aca="false">Revenue!BC14*Assumptions!$G$13</f>
        <v>8791.99782183124</v>
      </c>
      <c r="BD7" s="14" t="n">
        <f aca="false">Revenue!BD14*Assumptions!$G$13</f>
        <v>8791.99782183124</v>
      </c>
      <c r="BE7" s="14" t="n">
        <f aca="false">Revenue!BE14*Assumptions!$G$13</f>
        <v>8392.36155720255</v>
      </c>
      <c r="BF7" s="14" t="n">
        <f aca="false">Revenue!BF14*Assumptions!$G$13</f>
        <v>7992.72529257385</v>
      </c>
      <c r="BG7" s="14" t="n">
        <f aca="false">Revenue!BG14*Assumptions!$G$13</f>
        <v>7992.72529257385</v>
      </c>
      <c r="BH7" s="14" t="n">
        <f aca="false">Revenue!BH14*Assumptions!$G$13</f>
        <v>7992.72529257385</v>
      </c>
      <c r="BI7" s="14" t="n">
        <f aca="false">Revenue!BI14*Assumptions!$G$13</f>
        <v>7593.08902794516</v>
      </c>
      <c r="BJ7" s="14" t="n">
        <f aca="false">Revenue!BJ14*Assumptions!$G$13</f>
        <v>7593.08902794516</v>
      </c>
      <c r="BK7" s="43" t="n">
        <f aca="false">SUMIF($C$5:$BJ$5,BK$5,$C7:$BJ7)</f>
        <v>59456.25</v>
      </c>
      <c r="BL7" s="43" t="n">
        <f aca="false">SUMIF($C$5:$BJ$5,BL$5,$C7:$BJ7)</f>
        <v>73696.5</v>
      </c>
      <c r="BM7" s="43" t="n">
        <f aca="false">SUMIF($C$5:$BJ$5,BM$5,$C7:$BJ7)</f>
        <v>80461.8387</v>
      </c>
      <c r="BN7" s="43" t="n">
        <f aca="false">SUMIF($C$5:$BJ$5,BN$5,$C7:$BJ7)</f>
        <v>87848.23549266</v>
      </c>
      <c r="BO7" s="43" t="n">
        <f aca="false">SUMIF($C$5:$BJ$5,BO$5,$C7:$BJ7)</f>
        <v>95912.7035108862</v>
      </c>
    </row>
    <row r="8" customFormat="false" ht="15" hidden="false" customHeight="false" outlineLevel="0" collapsed="false">
      <c r="A8" s="18" t="str">
        <f aca="false">"Line 2 direct costs: "&amp;Assumptions!$B$14</f>
        <v>Line 2 direct costs: Service line B — monthly plans (example)</v>
      </c>
      <c r="B8" s="2"/>
      <c r="C8" s="14" t="n">
        <f aca="false">Revenue!C18*Assumptions!$G$14</f>
        <v>405</v>
      </c>
      <c r="D8" s="14" t="n">
        <f aca="false">Revenue!D18*Assumptions!$G$14</f>
        <v>486</v>
      </c>
      <c r="E8" s="14" t="n">
        <f aca="false">Revenue!E18*Assumptions!$G$14</f>
        <v>630</v>
      </c>
      <c r="F8" s="14" t="n">
        <f aca="false">Revenue!F18*Assumptions!$G$14</f>
        <v>756</v>
      </c>
      <c r="G8" s="14" t="n">
        <f aca="false">Revenue!G18*Assumptions!$G$14</f>
        <v>891</v>
      </c>
      <c r="H8" s="14" t="n">
        <f aca="false">Revenue!H18*Assumptions!$G$14</f>
        <v>990</v>
      </c>
      <c r="I8" s="14" t="n">
        <f aca="false">Revenue!I18*Assumptions!$G$14</f>
        <v>945</v>
      </c>
      <c r="J8" s="14" t="n">
        <f aca="false">Revenue!J18*Assumptions!$G$14</f>
        <v>900</v>
      </c>
      <c r="K8" s="14" t="n">
        <f aca="false">Revenue!K18*Assumptions!$G$14</f>
        <v>900</v>
      </c>
      <c r="L8" s="14" t="n">
        <f aca="false">Revenue!L18*Assumptions!$G$14</f>
        <v>900</v>
      </c>
      <c r="M8" s="14" t="n">
        <f aca="false">Revenue!M18*Assumptions!$G$14</f>
        <v>855</v>
      </c>
      <c r="N8" s="14" t="n">
        <f aca="false">Revenue!N18*Assumptions!$G$14</f>
        <v>855</v>
      </c>
      <c r="O8" s="14" t="n">
        <f aca="false">Revenue!O18*Assumptions!$G$14</f>
        <v>917.73</v>
      </c>
      <c r="P8" s="14" t="n">
        <f aca="false">Revenue!P18*Assumptions!$G$14</f>
        <v>917.73</v>
      </c>
      <c r="Q8" s="14" t="n">
        <f aca="false">Revenue!Q18*Assumptions!$G$14</f>
        <v>1019.7</v>
      </c>
      <c r="R8" s="14" t="n">
        <f aca="false">Revenue!R18*Assumptions!$G$14</f>
        <v>1070.685</v>
      </c>
      <c r="S8" s="14" t="n">
        <f aca="false">Revenue!S18*Assumptions!$G$14</f>
        <v>1121.67</v>
      </c>
      <c r="T8" s="14" t="n">
        <f aca="false">Revenue!T18*Assumptions!$G$14</f>
        <v>1121.67</v>
      </c>
      <c r="U8" s="14" t="n">
        <f aca="false">Revenue!U18*Assumptions!$G$14</f>
        <v>1070.685</v>
      </c>
      <c r="V8" s="14" t="n">
        <f aca="false">Revenue!V18*Assumptions!$G$14</f>
        <v>1019.7</v>
      </c>
      <c r="W8" s="14" t="n">
        <f aca="false">Revenue!W18*Assumptions!$G$14</f>
        <v>1019.7</v>
      </c>
      <c r="X8" s="14" t="n">
        <f aca="false">Revenue!X18*Assumptions!$G$14</f>
        <v>1019.7</v>
      </c>
      <c r="Y8" s="14" t="n">
        <f aca="false">Revenue!Y18*Assumptions!$G$14</f>
        <v>968.715</v>
      </c>
      <c r="Z8" s="14" t="n">
        <f aca="false">Revenue!Z18*Assumptions!$G$14</f>
        <v>968.715</v>
      </c>
      <c r="AA8" s="14" t="n">
        <f aca="false">Revenue!AA18*Assumptions!$G$14</f>
        <v>1039.78809</v>
      </c>
      <c r="AB8" s="14" t="n">
        <f aca="false">Revenue!AB18*Assumptions!$G$14</f>
        <v>1039.78809</v>
      </c>
      <c r="AC8" s="14" t="n">
        <f aca="false">Revenue!AC18*Assumptions!$G$14</f>
        <v>1155.3201</v>
      </c>
      <c r="AD8" s="14" t="n">
        <f aca="false">Revenue!AD18*Assumptions!$G$14</f>
        <v>1213.086105</v>
      </c>
      <c r="AE8" s="14" t="n">
        <f aca="false">Revenue!AE18*Assumptions!$G$14</f>
        <v>1270.85211</v>
      </c>
      <c r="AF8" s="14" t="n">
        <f aca="false">Revenue!AF18*Assumptions!$G$14</f>
        <v>1270.85211</v>
      </c>
      <c r="AG8" s="14" t="n">
        <f aca="false">Revenue!AG18*Assumptions!$G$14</f>
        <v>1213.086105</v>
      </c>
      <c r="AH8" s="14" t="n">
        <f aca="false">Revenue!AH18*Assumptions!$G$14</f>
        <v>1155.3201</v>
      </c>
      <c r="AI8" s="14" t="n">
        <f aca="false">Revenue!AI18*Assumptions!$G$14</f>
        <v>1155.3201</v>
      </c>
      <c r="AJ8" s="14" t="n">
        <f aca="false">Revenue!AJ18*Assumptions!$G$14</f>
        <v>1155.3201</v>
      </c>
      <c r="AK8" s="14" t="n">
        <f aca="false">Revenue!AK18*Assumptions!$G$14</f>
        <v>1097.554095</v>
      </c>
      <c r="AL8" s="14" t="n">
        <f aca="false">Revenue!AL18*Assumptions!$G$14</f>
        <v>1097.554095</v>
      </c>
      <c r="AM8" s="14" t="n">
        <f aca="false">Revenue!AM18*Assumptions!$G$14</f>
        <v>1178.07990597</v>
      </c>
      <c r="AN8" s="14" t="n">
        <f aca="false">Revenue!AN18*Assumptions!$G$14</f>
        <v>1178.07990597</v>
      </c>
      <c r="AO8" s="14" t="n">
        <f aca="false">Revenue!AO18*Assumptions!$G$14</f>
        <v>1308.9776733</v>
      </c>
      <c r="AP8" s="14" t="n">
        <f aca="false">Revenue!AP18*Assumptions!$G$14</f>
        <v>1374.426556965</v>
      </c>
      <c r="AQ8" s="14" t="n">
        <f aca="false">Revenue!AQ18*Assumptions!$G$14</f>
        <v>1439.87544063</v>
      </c>
      <c r="AR8" s="14" t="n">
        <f aca="false">Revenue!AR18*Assumptions!$G$14</f>
        <v>1439.87544063</v>
      </c>
      <c r="AS8" s="14" t="n">
        <f aca="false">Revenue!AS18*Assumptions!$G$14</f>
        <v>1374.426556965</v>
      </c>
      <c r="AT8" s="14" t="n">
        <f aca="false">Revenue!AT18*Assumptions!$G$14</f>
        <v>1308.9776733</v>
      </c>
      <c r="AU8" s="14" t="n">
        <f aca="false">Revenue!AU18*Assumptions!$G$14</f>
        <v>1308.9776733</v>
      </c>
      <c r="AV8" s="14" t="n">
        <f aca="false">Revenue!AV18*Assumptions!$G$14</f>
        <v>1308.9776733</v>
      </c>
      <c r="AW8" s="14" t="n">
        <f aca="false">Revenue!AW18*Assumptions!$G$14</f>
        <v>1243.528789635</v>
      </c>
      <c r="AX8" s="14" t="n">
        <f aca="false">Revenue!AX18*Assumptions!$G$14</f>
        <v>1243.528789635</v>
      </c>
      <c r="AY8" s="14" t="n">
        <f aca="false">Revenue!AY18*Assumptions!$G$14</f>
        <v>1334.76453346401</v>
      </c>
      <c r="AZ8" s="14" t="n">
        <f aca="false">Revenue!AZ18*Assumptions!$G$14</f>
        <v>1334.76453346401</v>
      </c>
      <c r="BA8" s="14" t="n">
        <f aca="false">Revenue!BA18*Assumptions!$G$14</f>
        <v>1483.0717038489</v>
      </c>
      <c r="BB8" s="14" t="n">
        <f aca="false">Revenue!BB18*Assumptions!$G$14</f>
        <v>1557.22528904135</v>
      </c>
      <c r="BC8" s="14" t="n">
        <f aca="false">Revenue!BC18*Assumptions!$G$14</f>
        <v>1631.37887423379</v>
      </c>
      <c r="BD8" s="14" t="n">
        <f aca="false">Revenue!BD18*Assumptions!$G$14</f>
        <v>1631.37887423379</v>
      </c>
      <c r="BE8" s="14" t="n">
        <f aca="false">Revenue!BE18*Assumptions!$G$14</f>
        <v>1557.22528904135</v>
      </c>
      <c r="BF8" s="14" t="n">
        <f aca="false">Revenue!BF18*Assumptions!$G$14</f>
        <v>1483.0717038489</v>
      </c>
      <c r="BG8" s="14" t="n">
        <f aca="false">Revenue!BG18*Assumptions!$G$14</f>
        <v>1483.0717038489</v>
      </c>
      <c r="BH8" s="14" t="n">
        <f aca="false">Revenue!BH18*Assumptions!$G$14</f>
        <v>1483.0717038489</v>
      </c>
      <c r="BI8" s="14" t="n">
        <f aca="false">Revenue!BI18*Assumptions!$G$14</f>
        <v>1408.91811865646</v>
      </c>
      <c r="BJ8" s="14" t="n">
        <f aca="false">Revenue!BJ18*Assumptions!$G$14</f>
        <v>1408.91811865646</v>
      </c>
      <c r="BK8" s="43" t="n">
        <f aca="false">SUMIF($C$5:$BJ$5,BK$5,$C8:$BJ8)</f>
        <v>9513</v>
      </c>
      <c r="BL8" s="43" t="n">
        <f aca="false">SUMIF($C$5:$BJ$5,BL$5,$C8:$BJ8)</f>
        <v>12236.4</v>
      </c>
      <c r="BM8" s="43" t="n">
        <f aca="false">SUMIF($C$5:$BJ$5,BM$5,$C8:$BJ8)</f>
        <v>13863.8412</v>
      </c>
      <c r="BN8" s="43" t="n">
        <f aca="false">SUMIF($C$5:$BJ$5,BN$5,$C8:$BJ8)</f>
        <v>15707.7320796</v>
      </c>
      <c r="BO8" s="43" t="n">
        <f aca="false">SUMIF($C$5:$BJ$5,BO$5,$C8:$BJ8)</f>
        <v>17796.8604461868</v>
      </c>
    </row>
    <row r="9" customFormat="false" ht="15" hidden="false" customHeight="false" outlineLevel="0" collapsed="false">
      <c r="A9" s="18" t="str">
        <f aca="false">"Line 3 direct costs: "&amp;Assumptions!$B$15</f>
        <v>Line 3 direct costs: Product line (example)</v>
      </c>
      <c r="B9" s="2"/>
      <c r="C9" s="14" t="n">
        <f aca="false">Revenue!C22*Assumptions!$G$15</f>
        <v>2362.5</v>
      </c>
      <c r="D9" s="14" t="n">
        <f aca="false">Revenue!D22*Assumptions!$G$15</f>
        <v>2835</v>
      </c>
      <c r="E9" s="14" t="n">
        <f aca="false">Revenue!E22*Assumptions!$G$15</f>
        <v>3675</v>
      </c>
      <c r="F9" s="14" t="n">
        <f aca="false">Revenue!F22*Assumptions!$G$15</f>
        <v>4410</v>
      </c>
      <c r="G9" s="14" t="n">
        <f aca="false">Revenue!G22*Assumptions!$G$15</f>
        <v>5197.5</v>
      </c>
      <c r="H9" s="14" t="n">
        <f aca="false">Revenue!H22*Assumptions!$G$15</f>
        <v>5775</v>
      </c>
      <c r="I9" s="14" t="n">
        <f aca="false">Revenue!I22*Assumptions!$G$15</f>
        <v>5512.5</v>
      </c>
      <c r="J9" s="14" t="n">
        <f aca="false">Revenue!J22*Assumptions!$G$15</f>
        <v>5250</v>
      </c>
      <c r="K9" s="14" t="n">
        <f aca="false">Revenue!K22*Assumptions!$G$15</f>
        <v>5250</v>
      </c>
      <c r="L9" s="14" t="n">
        <f aca="false">Revenue!L22*Assumptions!$G$15</f>
        <v>5250</v>
      </c>
      <c r="M9" s="14" t="n">
        <f aca="false">Revenue!M22*Assumptions!$G$15</f>
        <v>4987.5</v>
      </c>
      <c r="N9" s="14" t="n">
        <f aca="false">Revenue!N22*Assumptions!$G$15</f>
        <v>4987.5</v>
      </c>
      <c r="O9" s="14" t="n">
        <f aca="false">Revenue!O22*Assumptions!$G$15</f>
        <v>5060.475</v>
      </c>
      <c r="P9" s="14" t="n">
        <f aca="false">Revenue!P22*Assumptions!$G$15</f>
        <v>5060.475</v>
      </c>
      <c r="Q9" s="14" t="n">
        <f aca="false">Revenue!Q22*Assumptions!$G$15</f>
        <v>5622.75</v>
      </c>
      <c r="R9" s="14" t="n">
        <f aca="false">Revenue!R22*Assumptions!$G$15</f>
        <v>5903.8875</v>
      </c>
      <c r="S9" s="14" t="n">
        <f aca="false">Revenue!S22*Assumptions!$G$15</f>
        <v>6185.025</v>
      </c>
      <c r="T9" s="14" t="n">
        <f aca="false">Revenue!T22*Assumptions!$G$15</f>
        <v>6185.025</v>
      </c>
      <c r="U9" s="14" t="n">
        <f aca="false">Revenue!U22*Assumptions!$G$15</f>
        <v>5903.8875</v>
      </c>
      <c r="V9" s="14" t="n">
        <f aca="false">Revenue!V22*Assumptions!$G$15</f>
        <v>5622.75</v>
      </c>
      <c r="W9" s="14" t="n">
        <f aca="false">Revenue!W22*Assumptions!$G$15</f>
        <v>5622.75</v>
      </c>
      <c r="X9" s="14" t="n">
        <f aca="false">Revenue!X22*Assumptions!$G$15</f>
        <v>5622.75</v>
      </c>
      <c r="Y9" s="14" t="n">
        <f aca="false">Revenue!Y22*Assumptions!$G$15</f>
        <v>5341.6125</v>
      </c>
      <c r="Z9" s="14" t="n">
        <f aca="false">Revenue!Z22*Assumptions!$G$15</f>
        <v>5341.6125</v>
      </c>
      <c r="AA9" s="14" t="n">
        <f aca="false">Revenue!AA22*Assumptions!$G$15</f>
        <v>5419.768725</v>
      </c>
      <c r="AB9" s="14" t="n">
        <f aca="false">Revenue!AB22*Assumptions!$G$15</f>
        <v>5419.768725</v>
      </c>
      <c r="AC9" s="14" t="n">
        <f aca="false">Revenue!AC22*Assumptions!$G$15</f>
        <v>6021.96525</v>
      </c>
      <c r="AD9" s="14" t="n">
        <f aca="false">Revenue!AD22*Assumptions!$G$15</f>
        <v>6323.0635125</v>
      </c>
      <c r="AE9" s="14" t="n">
        <f aca="false">Revenue!AE22*Assumptions!$G$15</f>
        <v>6624.161775</v>
      </c>
      <c r="AF9" s="14" t="n">
        <f aca="false">Revenue!AF22*Assumptions!$G$15</f>
        <v>6624.161775</v>
      </c>
      <c r="AG9" s="14" t="n">
        <f aca="false">Revenue!AG22*Assumptions!$G$15</f>
        <v>6323.0635125</v>
      </c>
      <c r="AH9" s="14" t="n">
        <f aca="false">Revenue!AH22*Assumptions!$G$15</f>
        <v>6021.96525</v>
      </c>
      <c r="AI9" s="14" t="n">
        <f aca="false">Revenue!AI22*Assumptions!$G$15</f>
        <v>6021.96525</v>
      </c>
      <c r="AJ9" s="14" t="n">
        <f aca="false">Revenue!AJ22*Assumptions!$G$15</f>
        <v>6021.96525</v>
      </c>
      <c r="AK9" s="14" t="n">
        <f aca="false">Revenue!AK22*Assumptions!$G$15</f>
        <v>5720.8669875</v>
      </c>
      <c r="AL9" s="14" t="n">
        <f aca="false">Revenue!AL22*Assumptions!$G$15</f>
        <v>5720.8669875</v>
      </c>
      <c r="AM9" s="14" t="n">
        <f aca="false">Revenue!AM22*Assumptions!$G$15</f>
        <v>5804.572304475</v>
      </c>
      <c r="AN9" s="14" t="n">
        <f aca="false">Revenue!AN22*Assumptions!$G$15</f>
        <v>5804.572304475</v>
      </c>
      <c r="AO9" s="14" t="n">
        <f aca="false">Revenue!AO22*Assumptions!$G$15</f>
        <v>6449.52478275</v>
      </c>
      <c r="AP9" s="14" t="n">
        <f aca="false">Revenue!AP22*Assumptions!$G$15</f>
        <v>6772.0010218875</v>
      </c>
      <c r="AQ9" s="14" t="n">
        <f aca="false">Revenue!AQ22*Assumptions!$G$15</f>
        <v>7094.477261025</v>
      </c>
      <c r="AR9" s="14" t="n">
        <f aca="false">Revenue!AR22*Assumptions!$G$15</f>
        <v>7094.477261025</v>
      </c>
      <c r="AS9" s="14" t="n">
        <f aca="false">Revenue!AS22*Assumptions!$G$15</f>
        <v>6772.0010218875</v>
      </c>
      <c r="AT9" s="14" t="n">
        <f aca="false">Revenue!AT22*Assumptions!$G$15</f>
        <v>6449.52478275</v>
      </c>
      <c r="AU9" s="14" t="n">
        <f aca="false">Revenue!AU22*Assumptions!$G$15</f>
        <v>6449.52478275</v>
      </c>
      <c r="AV9" s="14" t="n">
        <f aca="false">Revenue!AV22*Assumptions!$G$15</f>
        <v>6449.52478275</v>
      </c>
      <c r="AW9" s="14" t="n">
        <f aca="false">Revenue!AW22*Assumptions!$G$15</f>
        <v>6127.0485436125</v>
      </c>
      <c r="AX9" s="14" t="n">
        <f aca="false">Revenue!AX22*Assumptions!$G$15</f>
        <v>6127.0485436125</v>
      </c>
      <c r="AY9" s="14" t="n">
        <f aca="false">Revenue!AY22*Assumptions!$G$15</f>
        <v>6216.69693809273</v>
      </c>
      <c r="AZ9" s="14" t="n">
        <f aca="false">Revenue!AZ22*Assumptions!$G$15</f>
        <v>6216.69693809273</v>
      </c>
      <c r="BA9" s="14" t="n">
        <f aca="false">Revenue!BA22*Assumptions!$G$15</f>
        <v>6907.44104232525</v>
      </c>
      <c r="BB9" s="14" t="n">
        <f aca="false">Revenue!BB22*Assumptions!$G$15</f>
        <v>7252.81309444151</v>
      </c>
      <c r="BC9" s="14" t="n">
        <f aca="false">Revenue!BC22*Assumptions!$G$15</f>
        <v>7598.18514655778</v>
      </c>
      <c r="BD9" s="14" t="n">
        <f aca="false">Revenue!BD22*Assumptions!$G$15</f>
        <v>7598.18514655778</v>
      </c>
      <c r="BE9" s="14" t="n">
        <f aca="false">Revenue!BE22*Assumptions!$G$15</f>
        <v>7252.81309444151</v>
      </c>
      <c r="BF9" s="14" t="n">
        <f aca="false">Revenue!BF22*Assumptions!$G$15</f>
        <v>6907.44104232525</v>
      </c>
      <c r="BG9" s="14" t="n">
        <f aca="false">Revenue!BG22*Assumptions!$G$15</f>
        <v>6907.44104232525</v>
      </c>
      <c r="BH9" s="14" t="n">
        <f aca="false">Revenue!BH22*Assumptions!$G$15</f>
        <v>6907.44104232525</v>
      </c>
      <c r="BI9" s="14" t="n">
        <f aca="false">Revenue!BI22*Assumptions!$G$15</f>
        <v>6562.06899020899</v>
      </c>
      <c r="BJ9" s="14" t="n">
        <f aca="false">Revenue!BJ22*Assumptions!$G$15</f>
        <v>6562.06899020899</v>
      </c>
      <c r="BK9" s="43" t="n">
        <f aca="false">SUMIF($C$5:$BJ$5,BK$5,$C9:$BJ9)</f>
        <v>55492.5</v>
      </c>
      <c r="BL9" s="43" t="n">
        <f aca="false">SUMIF($C$5:$BJ$5,BL$5,$C9:$BJ9)</f>
        <v>67473</v>
      </c>
      <c r="BM9" s="43" t="n">
        <f aca="false">SUMIF($C$5:$BJ$5,BM$5,$C9:$BJ9)</f>
        <v>72263.583</v>
      </c>
      <c r="BN9" s="43" t="n">
        <f aca="false">SUMIF($C$5:$BJ$5,BN$5,$C9:$BJ9)</f>
        <v>77394.297393</v>
      </c>
      <c r="BO9" s="43" t="n">
        <f aca="false">SUMIF($C$5:$BJ$5,BO$5,$C9:$BJ9)</f>
        <v>82889.292507903</v>
      </c>
    </row>
    <row r="10" customFormat="false" ht="15" hidden="false" customHeight="false" outlineLevel="0" collapsed="false">
      <c r="A10" s="18" t="str">
        <f aca="false">"Line 4 direct costs: "&amp;Assumptions!$B$16</f>
        <v>Line 4 direct costs: Revenue line 4 (not used)</v>
      </c>
      <c r="B10" s="2"/>
      <c r="C10" s="14" t="n">
        <f aca="false">Revenue!C26*Assumptions!$G$16</f>
        <v>0</v>
      </c>
      <c r="D10" s="14" t="n">
        <f aca="false">Revenue!D26*Assumptions!$G$16</f>
        <v>0</v>
      </c>
      <c r="E10" s="14" t="n">
        <f aca="false">Revenue!E26*Assumptions!$G$16</f>
        <v>0</v>
      </c>
      <c r="F10" s="14" t="n">
        <f aca="false">Revenue!F26*Assumptions!$G$16</f>
        <v>0</v>
      </c>
      <c r="G10" s="14" t="n">
        <f aca="false">Revenue!G26*Assumptions!$G$16</f>
        <v>0</v>
      </c>
      <c r="H10" s="14" t="n">
        <f aca="false">Revenue!H26*Assumptions!$G$16</f>
        <v>0</v>
      </c>
      <c r="I10" s="14" t="n">
        <f aca="false">Revenue!I26*Assumptions!$G$16</f>
        <v>0</v>
      </c>
      <c r="J10" s="14" t="n">
        <f aca="false">Revenue!J26*Assumptions!$G$16</f>
        <v>0</v>
      </c>
      <c r="K10" s="14" t="n">
        <f aca="false">Revenue!K26*Assumptions!$G$16</f>
        <v>0</v>
      </c>
      <c r="L10" s="14" t="n">
        <f aca="false">Revenue!L26*Assumptions!$G$16</f>
        <v>0</v>
      </c>
      <c r="M10" s="14" t="n">
        <f aca="false">Revenue!M26*Assumptions!$G$16</f>
        <v>0</v>
      </c>
      <c r="N10" s="14" t="n">
        <f aca="false">Revenue!N26*Assumptions!$G$16</f>
        <v>0</v>
      </c>
      <c r="O10" s="14" t="n">
        <f aca="false">Revenue!O26*Assumptions!$G$16</f>
        <v>0</v>
      </c>
      <c r="P10" s="14" t="n">
        <f aca="false">Revenue!P26*Assumptions!$G$16</f>
        <v>0</v>
      </c>
      <c r="Q10" s="14" t="n">
        <f aca="false">Revenue!Q26*Assumptions!$G$16</f>
        <v>0</v>
      </c>
      <c r="R10" s="14" t="n">
        <f aca="false">Revenue!R26*Assumptions!$G$16</f>
        <v>0</v>
      </c>
      <c r="S10" s="14" t="n">
        <f aca="false">Revenue!S26*Assumptions!$G$16</f>
        <v>0</v>
      </c>
      <c r="T10" s="14" t="n">
        <f aca="false">Revenue!T26*Assumptions!$G$16</f>
        <v>0</v>
      </c>
      <c r="U10" s="14" t="n">
        <f aca="false">Revenue!U26*Assumptions!$G$16</f>
        <v>0</v>
      </c>
      <c r="V10" s="14" t="n">
        <f aca="false">Revenue!V26*Assumptions!$G$16</f>
        <v>0</v>
      </c>
      <c r="W10" s="14" t="n">
        <f aca="false">Revenue!W26*Assumptions!$G$16</f>
        <v>0</v>
      </c>
      <c r="X10" s="14" t="n">
        <f aca="false">Revenue!X26*Assumptions!$G$16</f>
        <v>0</v>
      </c>
      <c r="Y10" s="14" t="n">
        <f aca="false">Revenue!Y26*Assumptions!$G$16</f>
        <v>0</v>
      </c>
      <c r="Z10" s="14" t="n">
        <f aca="false">Revenue!Z26*Assumptions!$G$16</f>
        <v>0</v>
      </c>
      <c r="AA10" s="14" t="n">
        <f aca="false">Revenue!AA26*Assumptions!$G$16</f>
        <v>0</v>
      </c>
      <c r="AB10" s="14" t="n">
        <f aca="false">Revenue!AB26*Assumptions!$G$16</f>
        <v>0</v>
      </c>
      <c r="AC10" s="14" t="n">
        <f aca="false">Revenue!AC26*Assumptions!$G$16</f>
        <v>0</v>
      </c>
      <c r="AD10" s="14" t="n">
        <f aca="false">Revenue!AD26*Assumptions!$G$16</f>
        <v>0</v>
      </c>
      <c r="AE10" s="14" t="n">
        <f aca="false">Revenue!AE26*Assumptions!$G$16</f>
        <v>0</v>
      </c>
      <c r="AF10" s="14" t="n">
        <f aca="false">Revenue!AF26*Assumptions!$G$16</f>
        <v>0</v>
      </c>
      <c r="AG10" s="14" t="n">
        <f aca="false">Revenue!AG26*Assumptions!$G$16</f>
        <v>0</v>
      </c>
      <c r="AH10" s="14" t="n">
        <f aca="false">Revenue!AH26*Assumptions!$G$16</f>
        <v>0</v>
      </c>
      <c r="AI10" s="14" t="n">
        <f aca="false">Revenue!AI26*Assumptions!$G$16</f>
        <v>0</v>
      </c>
      <c r="AJ10" s="14" t="n">
        <f aca="false">Revenue!AJ26*Assumptions!$G$16</f>
        <v>0</v>
      </c>
      <c r="AK10" s="14" t="n">
        <f aca="false">Revenue!AK26*Assumptions!$G$16</f>
        <v>0</v>
      </c>
      <c r="AL10" s="14" t="n">
        <f aca="false">Revenue!AL26*Assumptions!$G$16</f>
        <v>0</v>
      </c>
      <c r="AM10" s="14" t="n">
        <f aca="false">Revenue!AM26*Assumptions!$G$16</f>
        <v>0</v>
      </c>
      <c r="AN10" s="14" t="n">
        <f aca="false">Revenue!AN26*Assumptions!$G$16</f>
        <v>0</v>
      </c>
      <c r="AO10" s="14" t="n">
        <f aca="false">Revenue!AO26*Assumptions!$G$16</f>
        <v>0</v>
      </c>
      <c r="AP10" s="14" t="n">
        <f aca="false">Revenue!AP26*Assumptions!$G$16</f>
        <v>0</v>
      </c>
      <c r="AQ10" s="14" t="n">
        <f aca="false">Revenue!AQ26*Assumptions!$G$16</f>
        <v>0</v>
      </c>
      <c r="AR10" s="14" t="n">
        <f aca="false">Revenue!AR26*Assumptions!$G$16</f>
        <v>0</v>
      </c>
      <c r="AS10" s="14" t="n">
        <f aca="false">Revenue!AS26*Assumptions!$G$16</f>
        <v>0</v>
      </c>
      <c r="AT10" s="14" t="n">
        <f aca="false">Revenue!AT26*Assumptions!$G$16</f>
        <v>0</v>
      </c>
      <c r="AU10" s="14" t="n">
        <f aca="false">Revenue!AU26*Assumptions!$G$16</f>
        <v>0</v>
      </c>
      <c r="AV10" s="14" t="n">
        <f aca="false">Revenue!AV26*Assumptions!$G$16</f>
        <v>0</v>
      </c>
      <c r="AW10" s="14" t="n">
        <f aca="false">Revenue!AW26*Assumptions!$G$16</f>
        <v>0</v>
      </c>
      <c r="AX10" s="14" t="n">
        <f aca="false">Revenue!AX26*Assumptions!$G$16</f>
        <v>0</v>
      </c>
      <c r="AY10" s="14" t="n">
        <f aca="false">Revenue!AY26*Assumptions!$G$16</f>
        <v>0</v>
      </c>
      <c r="AZ10" s="14" t="n">
        <f aca="false">Revenue!AZ26*Assumptions!$G$16</f>
        <v>0</v>
      </c>
      <c r="BA10" s="14" t="n">
        <f aca="false">Revenue!BA26*Assumptions!$G$16</f>
        <v>0</v>
      </c>
      <c r="BB10" s="14" t="n">
        <f aca="false">Revenue!BB26*Assumptions!$G$16</f>
        <v>0</v>
      </c>
      <c r="BC10" s="14" t="n">
        <f aca="false">Revenue!BC26*Assumptions!$G$16</f>
        <v>0</v>
      </c>
      <c r="BD10" s="14" t="n">
        <f aca="false">Revenue!BD26*Assumptions!$G$16</f>
        <v>0</v>
      </c>
      <c r="BE10" s="14" t="n">
        <f aca="false">Revenue!BE26*Assumptions!$G$16</f>
        <v>0</v>
      </c>
      <c r="BF10" s="14" t="n">
        <f aca="false">Revenue!BF26*Assumptions!$G$16</f>
        <v>0</v>
      </c>
      <c r="BG10" s="14" t="n">
        <f aca="false">Revenue!BG26*Assumptions!$G$16</f>
        <v>0</v>
      </c>
      <c r="BH10" s="14" t="n">
        <f aca="false">Revenue!BH26*Assumptions!$G$16</f>
        <v>0</v>
      </c>
      <c r="BI10" s="14" t="n">
        <f aca="false">Revenue!BI26*Assumptions!$G$16</f>
        <v>0</v>
      </c>
      <c r="BJ10" s="14" t="n">
        <f aca="false">Revenue!BJ26*Assumptions!$G$16</f>
        <v>0</v>
      </c>
      <c r="BK10" s="43" t="n">
        <f aca="false">SUMIF($C$5:$BJ$5,BK$5,$C10:$BJ10)</f>
        <v>0</v>
      </c>
      <c r="BL10" s="43" t="n">
        <f aca="false">SUMIF($C$5:$BJ$5,BL$5,$C10:$BJ10)</f>
        <v>0</v>
      </c>
      <c r="BM10" s="43" t="n">
        <f aca="false">SUMIF($C$5:$BJ$5,BM$5,$C10:$BJ10)</f>
        <v>0</v>
      </c>
      <c r="BN10" s="43" t="n">
        <f aca="false">SUMIF($C$5:$BJ$5,BN$5,$C10:$BJ10)</f>
        <v>0</v>
      </c>
      <c r="BO10" s="43" t="n">
        <f aca="false">SUMIF($C$5:$BJ$5,BO$5,$C10:$BJ10)</f>
        <v>0</v>
      </c>
    </row>
    <row r="11" customFormat="false" ht="15" hidden="false" customHeight="false" outlineLevel="0" collapsed="false">
      <c r="A11" s="18" t="str">
        <f aca="false">"Line 5 direct costs: "&amp;Assumptions!$B$17</f>
        <v>Line 5 direct costs: Revenue line 5 (not used)</v>
      </c>
      <c r="B11" s="2"/>
      <c r="C11" s="14" t="n">
        <f aca="false">Revenue!C30*Assumptions!$G$17</f>
        <v>0</v>
      </c>
      <c r="D11" s="14" t="n">
        <f aca="false">Revenue!D30*Assumptions!$G$17</f>
        <v>0</v>
      </c>
      <c r="E11" s="14" t="n">
        <f aca="false">Revenue!E30*Assumptions!$G$17</f>
        <v>0</v>
      </c>
      <c r="F11" s="14" t="n">
        <f aca="false">Revenue!F30*Assumptions!$G$17</f>
        <v>0</v>
      </c>
      <c r="G11" s="14" t="n">
        <f aca="false">Revenue!G30*Assumptions!$G$17</f>
        <v>0</v>
      </c>
      <c r="H11" s="14" t="n">
        <f aca="false">Revenue!H30*Assumptions!$G$17</f>
        <v>0</v>
      </c>
      <c r="I11" s="14" t="n">
        <f aca="false">Revenue!I30*Assumptions!$G$17</f>
        <v>0</v>
      </c>
      <c r="J11" s="14" t="n">
        <f aca="false">Revenue!J30*Assumptions!$G$17</f>
        <v>0</v>
      </c>
      <c r="K11" s="14" t="n">
        <f aca="false">Revenue!K30*Assumptions!$G$17</f>
        <v>0</v>
      </c>
      <c r="L11" s="14" t="n">
        <f aca="false">Revenue!L30*Assumptions!$G$17</f>
        <v>0</v>
      </c>
      <c r="M11" s="14" t="n">
        <f aca="false">Revenue!M30*Assumptions!$G$17</f>
        <v>0</v>
      </c>
      <c r="N11" s="14" t="n">
        <f aca="false">Revenue!N30*Assumptions!$G$17</f>
        <v>0</v>
      </c>
      <c r="O11" s="14" t="n">
        <f aca="false">Revenue!O30*Assumptions!$G$17</f>
        <v>0</v>
      </c>
      <c r="P11" s="14" t="n">
        <f aca="false">Revenue!P30*Assumptions!$G$17</f>
        <v>0</v>
      </c>
      <c r="Q11" s="14" t="n">
        <f aca="false">Revenue!Q30*Assumptions!$G$17</f>
        <v>0</v>
      </c>
      <c r="R11" s="14" t="n">
        <f aca="false">Revenue!R30*Assumptions!$G$17</f>
        <v>0</v>
      </c>
      <c r="S11" s="14" t="n">
        <f aca="false">Revenue!S30*Assumptions!$G$17</f>
        <v>0</v>
      </c>
      <c r="T11" s="14" t="n">
        <f aca="false">Revenue!T30*Assumptions!$G$17</f>
        <v>0</v>
      </c>
      <c r="U11" s="14" t="n">
        <f aca="false">Revenue!U30*Assumptions!$G$17</f>
        <v>0</v>
      </c>
      <c r="V11" s="14" t="n">
        <f aca="false">Revenue!V30*Assumptions!$G$17</f>
        <v>0</v>
      </c>
      <c r="W11" s="14" t="n">
        <f aca="false">Revenue!W30*Assumptions!$G$17</f>
        <v>0</v>
      </c>
      <c r="X11" s="14" t="n">
        <f aca="false">Revenue!X30*Assumptions!$G$17</f>
        <v>0</v>
      </c>
      <c r="Y11" s="14" t="n">
        <f aca="false">Revenue!Y30*Assumptions!$G$17</f>
        <v>0</v>
      </c>
      <c r="Z11" s="14" t="n">
        <f aca="false">Revenue!Z30*Assumptions!$G$17</f>
        <v>0</v>
      </c>
      <c r="AA11" s="14" t="n">
        <f aca="false">Revenue!AA30*Assumptions!$G$17</f>
        <v>0</v>
      </c>
      <c r="AB11" s="14" t="n">
        <f aca="false">Revenue!AB30*Assumptions!$G$17</f>
        <v>0</v>
      </c>
      <c r="AC11" s="14" t="n">
        <f aca="false">Revenue!AC30*Assumptions!$G$17</f>
        <v>0</v>
      </c>
      <c r="AD11" s="14" t="n">
        <f aca="false">Revenue!AD30*Assumptions!$G$17</f>
        <v>0</v>
      </c>
      <c r="AE11" s="14" t="n">
        <f aca="false">Revenue!AE30*Assumptions!$G$17</f>
        <v>0</v>
      </c>
      <c r="AF11" s="14" t="n">
        <f aca="false">Revenue!AF30*Assumptions!$G$17</f>
        <v>0</v>
      </c>
      <c r="AG11" s="14" t="n">
        <f aca="false">Revenue!AG30*Assumptions!$G$17</f>
        <v>0</v>
      </c>
      <c r="AH11" s="14" t="n">
        <f aca="false">Revenue!AH30*Assumptions!$G$17</f>
        <v>0</v>
      </c>
      <c r="AI11" s="14" t="n">
        <f aca="false">Revenue!AI30*Assumptions!$G$17</f>
        <v>0</v>
      </c>
      <c r="AJ11" s="14" t="n">
        <f aca="false">Revenue!AJ30*Assumptions!$G$17</f>
        <v>0</v>
      </c>
      <c r="AK11" s="14" t="n">
        <f aca="false">Revenue!AK30*Assumptions!$G$17</f>
        <v>0</v>
      </c>
      <c r="AL11" s="14" t="n">
        <f aca="false">Revenue!AL30*Assumptions!$G$17</f>
        <v>0</v>
      </c>
      <c r="AM11" s="14" t="n">
        <f aca="false">Revenue!AM30*Assumptions!$G$17</f>
        <v>0</v>
      </c>
      <c r="AN11" s="14" t="n">
        <f aca="false">Revenue!AN30*Assumptions!$G$17</f>
        <v>0</v>
      </c>
      <c r="AO11" s="14" t="n">
        <f aca="false">Revenue!AO30*Assumptions!$G$17</f>
        <v>0</v>
      </c>
      <c r="AP11" s="14" t="n">
        <f aca="false">Revenue!AP30*Assumptions!$G$17</f>
        <v>0</v>
      </c>
      <c r="AQ11" s="14" t="n">
        <f aca="false">Revenue!AQ30*Assumptions!$G$17</f>
        <v>0</v>
      </c>
      <c r="AR11" s="14" t="n">
        <f aca="false">Revenue!AR30*Assumptions!$G$17</f>
        <v>0</v>
      </c>
      <c r="AS11" s="14" t="n">
        <f aca="false">Revenue!AS30*Assumptions!$G$17</f>
        <v>0</v>
      </c>
      <c r="AT11" s="14" t="n">
        <f aca="false">Revenue!AT30*Assumptions!$G$17</f>
        <v>0</v>
      </c>
      <c r="AU11" s="14" t="n">
        <f aca="false">Revenue!AU30*Assumptions!$G$17</f>
        <v>0</v>
      </c>
      <c r="AV11" s="14" t="n">
        <f aca="false">Revenue!AV30*Assumptions!$G$17</f>
        <v>0</v>
      </c>
      <c r="AW11" s="14" t="n">
        <f aca="false">Revenue!AW30*Assumptions!$G$17</f>
        <v>0</v>
      </c>
      <c r="AX11" s="14" t="n">
        <f aca="false">Revenue!AX30*Assumptions!$G$17</f>
        <v>0</v>
      </c>
      <c r="AY11" s="14" t="n">
        <f aca="false">Revenue!AY30*Assumptions!$G$17</f>
        <v>0</v>
      </c>
      <c r="AZ11" s="14" t="n">
        <f aca="false">Revenue!AZ30*Assumptions!$G$17</f>
        <v>0</v>
      </c>
      <c r="BA11" s="14" t="n">
        <f aca="false">Revenue!BA30*Assumptions!$G$17</f>
        <v>0</v>
      </c>
      <c r="BB11" s="14" t="n">
        <f aca="false">Revenue!BB30*Assumptions!$G$17</f>
        <v>0</v>
      </c>
      <c r="BC11" s="14" t="n">
        <f aca="false">Revenue!BC30*Assumptions!$G$17</f>
        <v>0</v>
      </c>
      <c r="BD11" s="14" t="n">
        <f aca="false">Revenue!BD30*Assumptions!$G$17</f>
        <v>0</v>
      </c>
      <c r="BE11" s="14" t="n">
        <f aca="false">Revenue!BE30*Assumptions!$G$17</f>
        <v>0</v>
      </c>
      <c r="BF11" s="14" t="n">
        <f aca="false">Revenue!BF30*Assumptions!$G$17</f>
        <v>0</v>
      </c>
      <c r="BG11" s="14" t="n">
        <f aca="false">Revenue!BG30*Assumptions!$G$17</f>
        <v>0</v>
      </c>
      <c r="BH11" s="14" t="n">
        <f aca="false">Revenue!BH30*Assumptions!$G$17</f>
        <v>0</v>
      </c>
      <c r="BI11" s="14" t="n">
        <f aca="false">Revenue!BI30*Assumptions!$G$17</f>
        <v>0</v>
      </c>
      <c r="BJ11" s="14" t="n">
        <f aca="false">Revenue!BJ30*Assumptions!$G$17</f>
        <v>0</v>
      </c>
      <c r="BK11" s="43" t="n">
        <f aca="false">SUMIF($C$5:$BJ$5,BK$5,$C11:$BJ11)</f>
        <v>0</v>
      </c>
      <c r="BL11" s="43" t="n">
        <f aca="false">SUMIF($C$5:$BJ$5,BL$5,$C11:$BJ11)</f>
        <v>0</v>
      </c>
      <c r="BM11" s="43" t="n">
        <f aca="false">SUMIF($C$5:$BJ$5,BM$5,$C11:$BJ11)</f>
        <v>0</v>
      </c>
      <c r="BN11" s="43" t="n">
        <f aca="false">SUMIF($C$5:$BJ$5,BN$5,$C11:$BJ11)</f>
        <v>0</v>
      </c>
      <c r="BO11" s="43" t="n">
        <f aca="false">SUMIF($C$5:$BJ$5,BO$5,$C11:$BJ11)</f>
        <v>0</v>
      </c>
    </row>
    <row r="12" customFormat="false" ht="15" hidden="false" customHeight="false" outlineLevel="0" collapsed="false">
      <c r="A12" s="39" t="s">
        <v>233</v>
      </c>
      <c r="B12" s="40"/>
      <c r="C12" s="41" t="n">
        <f aca="false">C7+C8+C9+C10+C11</f>
        <v>5298.75</v>
      </c>
      <c r="D12" s="41" t="n">
        <f aca="false">D7+D8+D9+D10+D11</f>
        <v>6358.5</v>
      </c>
      <c r="E12" s="41" t="n">
        <f aca="false">E7+E8+E9+E10+E11</f>
        <v>8242.5</v>
      </c>
      <c r="F12" s="41" t="n">
        <f aca="false">F7+F8+F9+F10+F11</f>
        <v>9891</v>
      </c>
      <c r="G12" s="41" t="n">
        <f aca="false">G7+G8+G9+G10+G11</f>
        <v>11657.25</v>
      </c>
      <c r="H12" s="41" t="n">
        <f aca="false">H7+H8+H9+H10+H11</f>
        <v>12952.5</v>
      </c>
      <c r="I12" s="41" t="n">
        <f aca="false">I7+I8+I9+I10+I11</f>
        <v>12363.75</v>
      </c>
      <c r="J12" s="41" t="n">
        <f aca="false">J7+J8+J9+J10+J11</f>
        <v>11775</v>
      </c>
      <c r="K12" s="41" t="n">
        <f aca="false">K7+K8+K9+K10+K11</f>
        <v>11775</v>
      </c>
      <c r="L12" s="41" t="n">
        <f aca="false">L7+L8+L9+L10+L11</f>
        <v>11775</v>
      </c>
      <c r="M12" s="41" t="n">
        <f aca="false">M7+M8+M9+M10+M11</f>
        <v>11186.25</v>
      </c>
      <c r="N12" s="41" t="n">
        <f aca="false">N7+N8+N9+N10+N11</f>
        <v>11186.25</v>
      </c>
      <c r="O12" s="41" t="n">
        <f aca="false">O7+O8+O9+O10+O11</f>
        <v>11505.4425</v>
      </c>
      <c r="P12" s="41" t="n">
        <f aca="false">P7+P8+P9+P10+P11</f>
        <v>11505.4425</v>
      </c>
      <c r="Q12" s="41" t="n">
        <f aca="false">Q7+Q8+Q9+Q10+Q11</f>
        <v>12783.825</v>
      </c>
      <c r="R12" s="41" t="n">
        <f aca="false">R7+R8+R9+R10+R11</f>
        <v>13423.01625</v>
      </c>
      <c r="S12" s="41" t="n">
        <f aca="false">S7+S8+S9+S10+S11</f>
        <v>14062.2075</v>
      </c>
      <c r="T12" s="41" t="n">
        <f aca="false">T7+T8+T9+T10+T11</f>
        <v>14062.2075</v>
      </c>
      <c r="U12" s="41" t="n">
        <f aca="false">U7+U8+U9+U10+U11</f>
        <v>13423.01625</v>
      </c>
      <c r="V12" s="41" t="n">
        <f aca="false">V7+V8+V9+V10+V11</f>
        <v>12783.825</v>
      </c>
      <c r="W12" s="41" t="n">
        <f aca="false">W7+W8+W9+W10+W11</f>
        <v>12783.825</v>
      </c>
      <c r="X12" s="41" t="n">
        <f aca="false">X7+X8+X9+X10+X11</f>
        <v>12783.825</v>
      </c>
      <c r="Y12" s="41" t="n">
        <f aca="false">Y7+Y8+Y9+Y10+Y11</f>
        <v>12144.63375</v>
      </c>
      <c r="Z12" s="41" t="n">
        <f aca="false">Z7+Z8+Z9+Z10+Z11</f>
        <v>12144.63375</v>
      </c>
      <c r="AA12" s="41" t="n">
        <f aca="false">AA7+AA8+AA9+AA10+AA11</f>
        <v>12494.1947175</v>
      </c>
      <c r="AB12" s="41" t="n">
        <f aca="false">AB7+AB8+AB9+AB10+AB11</f>
        <v>12494.1947175</v>
      </c>
      <c r="AC12" s="41" t="n">
        <f aca="false">AC7+AC8+AC9+AC10+AC11</f>
        <v>13882.438575</v>
      </c>
      <c r="AD12" s="41" t="n">
        <f aca="false">AD7+AD8+AD9+AD10+AD11</f>
        <v>14576.56050375</v>
      </c>
      <c r="AE12" s="41" t="n">
        <f aca="false">AE7+AE8+AE9+AE10+AE11</f>
        <v>15270.6824325</v>
      </c>
      <c r="AF12" s="41" t="n">
        <f aca="false">AF7+AF8+AF9+AF10+AF11</f>
        <v>15270.6824325</v>
      </c>
      <c r="AG12" s="41" t="n">
        <f aca="false">AG7+AG8+AG9+AG10+AG11</f>
        <v>14576.56050375</v>
      </c>
      <c r="AH12" s="41" t="n">
        <f aca="false">AH7+AH8+AH9+AH10+AH11</f>
        <v>13882.438575</v>
      </c>
      <c r="AI12" s="41" t="n">
        <f aca="false">AI7+AI8+AI9+AI10+AI11</f>
        <v>13882.438575</v>
      </c>
      <c r="AJ12" s="41" t="n">
        <f aca="false">AJ7+AJ8+AJ9+AJ10+AJ11</f>
        <v>13882.438575</v>
      </c>
      <c r="AK12" s="41" t="n">
        <f aca="false">AK7+AK8+AK9+AK10+AK11</f>
        <v>13188.31664625</v>
      </c>
      <c r="AL12" s="41" t="n">
        <f aca="false">AL7+AL8+AL9+AL10+AL11</f>
        <v>13188.31664625</v>
      </c>
      <c r="AM12" s="41" t="n">
        <f aca="false">AM7+AM8+AM9+AM10+AM11</f>
        <v>13571.2698723945</v>
      </c>
      <c r="AN12" s="41" t="n">
        <f aca="false">AN7+AN8+AN9+AN10+AN11</f>
        <v>13571.2698723945</v>
      </c>
      <c r="AO12" s="41" t="n">
        <f aca="false">AO7+AO8+AO9+AO10+AO11</f>
        <v>15079.188747105</v>
      </c>
      <c r="AP12" s="41" t="n">
        <f aca="false">AP7+AP8+AP9+AP10+AP11</f>
        <v>15833.1481844603</v>
      </c>
      <c r="AQ12" s="41" t="n">
        <f aca="false">AQ7+AQ8+AQ9+AQ10+AQ11</f>
        <v>16587.1076218155</v>
      </c>
      <c r="AR12" s="41" t="n">
        <f aca="false">AR7+AR8+AR9+AR10+AR11</f>
        <v>16587.1076218155</v>
      </c>
      <c r="AS12" s="41" t="n">
        <f aca="false">AS7+AS8+AS9+AS10+AS11</f>
        <v>15833.1481844603</v>
      </c>
      <c r="AT12" s="41" t="n">
        <f aca="false">AT7+AT8+AT9+AT10+AT11</f>
        <v>15079.188747105</v>
      </c>
      <c r="AU12" s="41" t="n">
        <f aca="false">AU7+AU8+AU9+AU10+AU11</f>
        <v>15079.188747105</v>
      </c>
      <c r="AV12" s="41" t="n">
        <f aca="false">AV7+AV8+AV9+AV10+AV11</f>
        <v>15079.188747105</v>
      </c>
      <c r="AW12" s="41" t="n">
        <f aca="false">AW7+AW8+AW9+AW10+AW11</f>
        <v>14325.2293097498</v>
      </c>
      <c r="AX12" s="41" t="n">
        <f aca="false">AX7+AX8+AX9+AX10+AX11</f>
        <v>14325.2293097498</v>
      </c>
      <c r="AY12" s="41" t="n">
        <f aca="false">AY7+AY8+AY9+AY10+AY11</f>
        <v>14744.9142348732</v>
      </c>
      <c r="AZ12" s="41" t="n">
        <f aca="false">AZ7+AZ8+AZ9+AZ10+AZ11</f>
        <v>14744.9142348732</v>
      </c>
      <c r="BA12" s="41" t="n">
        <f aca="false">BA7+BA8+BA9+BA10+BA11</f>
        <v>16383.238038748</v>
      </c>
      <c r="BB12" s="41" t="n">
        <f aca="false">BB7+BB8+BB9+BB10+BB11</f>
        <v>17202.3999406854</v>
      </c>
      <c r="BC12" s="41" t="n">
        <f aca="false">BC7+BC8+BC9+BC10+BC11</f>
        <v>18021.5618426228</v>
      </c>
      <c r="BD12" s="41" t="n">
        <f aca="false">BD7+BD8+BD9+BD10+BD11</f>
        <v>18021.5618426228</v>
      </c>
      <c r="BE12" s="41" t="n">
        <f aca="false">BE7+BE8+BE9+BE10+BE11</f>
        <v>17202.3999406854</v>
      </c>
      <c r="BF12" s="41" t="n">
        <f aca="false">BF7+BF8+BF9+BF10+BF11</f>
        <v>16383.238038748</v>
      </c>
      <c r="BG12" s="41" t="n">
        <f aca="false">BG7+BG8+BG9+BG10+BG11</f>
        <v>16383.238038748</v>
      </c>
      <c r="BH12" s="41" t="n">
        <f aca="false">BH7+BH8+BH9+BH10+BH11</f>
        <v>16383.238038748</v>
      </c>
      <c r="BI12" s="41" t="n">
        <f aca="false">BI7+BI8+BI9+BI10+BI11</f>
        <v>15564.0761368106</v>
      </c>
      <c r="BJ12" s="41" t="n">
        <f aca="false">BJ7+BJ8+BJ9+BJ10+BJ11</f>
        <v>15564.0761368106</v>
      </c>
      <c r="BK12" s="42" t="n">
        <f aca="false">SUMIF($C$5:$BJ$5,BK$5,$C12:$BJ12)</f>
        <v>124461.75</v>
      </c>
      <c r="BL12" s="42" t="n">
        <f aca="false">SUMIF($C$5:$BJ$5,BL$5,$C12:$BJ12)</f>
        <v>153405.9</v>
      </c>
      <c r="BM12" s="42" t="n">
        <f aca="false">SUMIF($C$5:$BJ$5,BM$5,$C12:$BJ12)</f>
        <v>166589.2629</v>
      </c>
      <c r="BN12" s="42" t="n">
        <f aca="false">SUMIF($C$5:$BJ$5,BN$5,$C12:$BJ12)</f>
        <v>180950.26496526</v>
      </c>
      <c r="BO12" s="42" t="n">
        <f aca="false">SUMIF($C$5:$BJ$5,BO$5,$C12:$BJ12)</f>
        <v>196598.856464976</v>
      </c>
    </row>
    <row r="14" customFormat="false" ht="15" hidden="false" customHeight="false" outlineLevel="0" collapsed="false">
      <c r="A14" s="18" t="s">
        <v>234</v>
      </c>
      <c r="B14" s="2"/>
      <c r="C14" s="44" t="n">
        <f aca="false">Revenue!C32</f>
        <v>17550</v>
      </c>
      <c r="D14" s="44" t="n">
        <f aca="false">Revenue!D32</f>
        <v>21060</v>
      </c>
      <c r="E14" s="44" t="n">
        <f aca="false">Revenue!E32</f>
        <v>27300</v>
      </c>
      <c r="F14" s="44" t="n">
        <f aca="false">Revenue!F32</f>
        <v>32760</v>
      </c>
      <c r="G14" s="44" t="n">
        <f aca="false">Revenue!G32</f>
        <v>38610</v>
      </c>
      <c r="H14" s="44" t="n">
        <f aca="false">Revenue!H32</f>
        <v>42900</v>
      </c>
      <c r="I14" s="44" t="n">
        <f aca="false">Revenue!I32</f>
        <v>40950</v>
      </c>
      <c r="J14" s="44" t="n">
        <f aca="false">Revenue!J32</f>
        <v>39000</v>
      </c>
      <c r="K14" s="44" t="n">
        <f aca="false">Revenue!K32</f>
        <v>39000</v>
      </c>
      <c r="L14" s="44" t="n">
        <f aca="false">Revenue!L32</f>
        <v>39000</v>
      </c>
      <c r="M14" s="44" t="n">
        <f aca="false">Revenue!M32</f>
        <v>37050</v>
      </c>
      <c r="N14" s="44" t="n">
        <f aca="false">Revenue!N32</f>
        <v>37050</v>
      </c>
      <c r="O14" s="44" t="n">
        <f aca="false">Revenue!O32</f>
        <v>38348.1</v>
      </c>
      <c r="P14" s="44" t="n">
        <f aca="false">Revenue!P32</f>
        <v>38348.1</v>
      </c>
      <c r="Q14" s="44" t="n">
        <f aca="false">Revenue!Q32</f>
        <v>42609</v>
      </c>
      <c r="R14" s="44" t="n">
        <f aca="false">Revenue!R32</f>
        <v>44739.45</v>
      </c>
      <c r="S14" s="44" t="n">
        <f aca="false">Revenue!S32</f>
        <v>46869.9</v>
      </c>
      <c r="T14" s="44" t="n">
        <f aca="false">Revenue!T32</f>
        <v>46869.9</v>
      </c>
      <c r="U14" s="44" t="n">
        <f aca="false">Revenue!U32</f>
        <v>44739.45</v>
      </c>
      <c r="V14" s="44" t="n">
        <f aca="false">Revenue!V32</f>
        <v>42609</v>
      </c>
      <c r="W14" s="44" t="n">
        <f aca="false">Revenue!W32</f>
        <v>42609</v>
      </c>
      <c r="X14" s="44" t="n">
        <f aca="false">Revenue!X32</f>
        <v>42609</v>
      </c>
      <c r="Y14" s="44" t="n">
        <f aca="false">Revenue!Y32</f>
        <v>40478.55</v>
      </c>
      <c r="Z14" s="44" t="n">
        <f aca="false">Revenue!Z32</f>
        <v>40478.55</v>
      </c>
      <c r="AA14" s="44" t="n">
        <f aca="false">Revenue!AA32</f>
        <v>41910.00966</v>
      </c>
      <c r="AB14" s="44" t="n">
        <f aca="false">Revenue!AB32</f>
        <v>41910.00966</v>
      </c>
      <c r="AC14" s="44" t="n">
        <f aca="false">Revenue!AC32</f>
        <v>46566.6774</v>
      </c>
      <c r="AD14" s="44" t="n">
        <f aca="false">Revenue!AD32</f>
        <v>48895.01127</v>
      </c>
      <c r="AE14" s="44" t="n">
        <f aca="false">Revenue!AE32</f>
        <v>51223.34514</v>
      </c>
      <c r="AF14" s="44" t="n">
        <f aca="false">Revenue!AF32</f>
        <v>51223.34514</v>
      </c>
      <c r="AG14" s="44" t="n">
        <f aca="false">Revenue!AG32</f>
        <v>48895.01127</v>
      </c>
      <c r="AH14" s="44" t="n">
        <f aca="false">Revenue!AH32</f>
        <v>46566.6774</v>
      </c>
      <c r="AI14" s="44" t="n">
        <f aca="false">Revenue!AI32</f>
        <v>46566.6774</v>
      </c>
      <c r="AJ14" s="44" t="n">
        <f aca="false">Revenue!AJ32</f>
        <v>46566.6774</v>
      </c>
      <c r="AK14" s="44" t="n">
        <f aca="false">Revenue!AK32</f>
        <v>44238.34353</v>
      </c>
      <c r="AL14" s="44" t="n">
        <f aca="false">Revenue!AL32</f>
        <v>44238.34353</v>
      </c>
      <c r="AM14" s="44" t="n">
        <f aca="false">Revenue!AM32</f>
        <v>45817.481296548</v>
      </c>
      <c r="AN14" s="44" t="n">
        <f aca="false">Revenue!AN32</f>
        <v>45817.481296548</v>
      </c>
      <c r="AO14" s="44" t="n">
        <f aca="false">Revenue!AO32</f>
        <v>50908.31255172</v>
      </c>
      <c r="AP14" s="44" t="n">
        <f aca="false">Revenue!AP32</f>
        <v>53453.728179306</v>
      </c>
      <c r="AQ14" s="44" t="n">
        <f aca="false">Revenue!AQ32</f>
        <v>55999.143806892</v>
      </c>
      <c r="AR14" s="44" t="n">
        <f aca="false">Revenue!AR32</f>
        <v>55999.143806892</v>
      </c>
      <c r="AS14" s="44" t="n">
        <f aca="false">Revenue!AS32</f>
        <v>53453.728179306</v>
      </c>
      <c r="AT14" s="44" t="n">
        <f aca="false">Revenue!AT32</f>
        <v>50908.31255172</v>
      </c>
      <c r="AU14" s="44" t="n">
        <f aca="false">Revenue!AU32</f>
        <v>50908.31255172</v>
      </c>
      <c r="AV14" s="44" t="n">
        <f aca="false">Revenue!AV32</f>
        <v>50908.31255172</v>
      </c>
      <c r="AW14" s="44" t="n">
        <f aca="false">Revenue!AW32</f>
        <v>48362.896924134</v>
      </c>
      <c r="AX14" s="44" t="n">
        <f aca="false">Revenue!AX32</f>
        <v>48362.896924134</v>
      </c>
      <c r="AY14" s="44" t="n">
        <f aca="false">Revenue!AY32</f>
        <v>50105.6351525447</v>
      </c>
      <c r="AZ14" s="44" t="n">
        <f aca="false">Revenue!AZ32</f>
        <v>50105.6351525447</v>
      </c>
      <c r="BA14" s="44" t="n">
        <f aca="false">Revenue!BA32</f>
        <v>55672.9279472719</v>
      </c>
      <c r="BB14" s="44" t="n">
        <f aca="false">Revenue!BB32</f>
        <v>58456.5743446355</v>
      </c>
      <c r="BC14" s="44" t="n">
        <f aca="false">Revenue!BC32</f>
        <v>61240.2207419991</v>
      </c>
      <c r="BD14" s="44" t="n">
        <f aca="false">Revenue!BD32</f>
        <v>61240.2207419991</v>
      </c>
      <c r="BE14" s="44" t="n">
        <f aca="false">Revenue!BE32</f>
        <v>58456.5743446355</v>
      </c>
      <c r="BF14" s="44" t="n">
        <f aca="false">Revenue!BF32</f>
        <v>55672.9279472719</v>
      </c>
      <c r="BG14" s="44" t="n">
        <f aca="false">Revenue!BG32</f>
        <v>55672.9279472719</v>
      </c>
      <c r="BH14" s="44" t="n">
        <f aca="false">Revenue!BH32</f>
        <v>55672.9279472719</v>
      </c>
      <c r="BI14" s="44" t="n">
        <f aca="false">Revenue!BI32</f>
        <v>52889.2815499083</v>
      </c>
      <c r="BJ14" s="44" t="n">
        <f aca="false">Revenue!BJ32</f>
        <v>52889.2815499083</v>
      </c>
      <c r="BK14" s="43" t="n">
        <f aca="false">SUMIF($C$5:$BJ$5,BK$5,$C14:$BJ14)</f>
        <v>412230</v>
      </c>
      <c r="BL14" s="43" t="n">
        <f aca="false">SUMIF($C$5:$BJ$5,BL$5,$C14:$BJ14)</f>
        <v>511308</v>
      </c>
      <c r="BM14" s="43" t="n">
        <f aca="false">SUMIF($C$5:$BJ$5,BM$5,$C14:$BJ14)</f>
        <v>558800.1288</v>
      </c>
      <c r="BN14" s="43" t="n">
        <f aca="false">SUMIF($C$5:$BJ$5,BN$5,$C14:$BJ14)</f>
        <v>610899.75062064</v>
      </c>
      <c r="BO14" s="43" t="n">
        <f aca="false">SUMIF($C$5:$BJ$5,BO$5,$C14:$BJ14)</f>
        <v>668075.135367263</v>
      </c>
    </row>
    <row r="15" customFormat="false" ht="15" hidden="false" customHeight="false" outlineLevel="0" collapsed="false">
      <c r="A15" s="39" t="s">
        <v>235</v>
      </c>
      <c r="B15" s="40"/>
      <c r="C15" s="41" t="n">
        <f aca="false">C14-C12</f>
        <v>12251.25</v>
      </c>
      <c r="D15" s="41" t="n">
        <f aca="false">D14-D12</f>
        <v>14701.5</v>
      </c>
      <c r="E15" s="41" t="n">
        <f aca="false">E14-E12</f>
        <v>19057.5</v>
      </c>
      <c r="F15" s="41" t="n">
        <f aca="false">F14-F12</f>
        <v>22869</v>
      </c>
      <c r="G15" s="41" t="n">
        <f aca="false">G14-G12</f>
        <v>26952.75</v>
      </c>
      <c r="H15" s="41" t="n">
        <f aca="false">H14-H12</f>
        <v>29947.5</v>
      </c>
      <c r="I15" s="41" t="n">
        <f aca="false">I14-I12</f>
        <v>28586.25</v>
      </c>
      <c r="J15" s="41" t="n">
        <f aca="false">J14-J12</f>
        <v>27225</v>
      </c>
      <c r="K15" s="41" t="n">
        <f aca="false">K14-K12</f>
        <v>27225</v>
      </c>
      <c r="L15" s="41" t="n">
        <f aca="false">L14-L12</f>
        <v>27225</v>
      </c>
      <c r="M15" s="41" t="n">
        <f aca="false">M14-M12</f>
        <v>25863.75</v>
      </c>
      <c r="N15" s="41" t="n">
        <f aca="false">N14-N12</f>
        <v>25863.75</v>
      </c>
      <c r="O15" s="41" t="n">
        <f aca="false">O14-O12</f>
        <v>26842.6575</v>
      </c>
      <c r="P15" s="41" t="n">
        <f aca="false">P14-P12</f>
        <v>26842.6575</v>
      </c>
      <c r="Q15" s="41" t="n">
        <f aca="false">Q14-Q12</f>
        <v>29825.175</v>
      </c>
      <c r="R15" s="41" t="n">
        <f aca="false">R14-R12</f>
        <v>31316.43375</v>
      </c>
      <c r="S15" s="41" t="n">
        <f aca="false">S14-S12</f>
        <v>32807.6925</v>
      </c>
      <c r="T15" s="41" t="n">
        <f aca="false">T14-T12</f>
        <v>32807.6925</v>
      </c>
      <c r="U15" s="41" t="n">
        <f aca="false">U14-U12</f>
        <v>31316.43375</v>
      </c>
      <c r="V15" s="41" t="n">
        <f aca="false">V14-V12</f>
        <v>29825.175</v>
      </c>
      <c r="W15" s="41" t="n">
        <f aca="false">W14-W12</f>
        <v>29825.175</v>
      </c>
      <c r="X15" s="41" t="n">
        <f aca="false">X14-X12</f>
        <v>29825.175</v>
      </c>
      <c r="Y15" s="41" t="n">
        <f aca="false">Y14-Y12</f>
        <v>28333.91625</v>
      </c>
      <c r="Z15" s="41" t="n">
        <f aca="false">Z14-Z12</f>
        <v>28333.91625</v>
      </c>
      <c r="AA15" s="41" t="n">
        <f aca="false">AA14-AA12</f>
        <v>29415.8149425</v>
      </c>
      <c r="AB15" s="41" t="n">
        <f aca="false">AB14-AB12</f>
        <v>29415.8149425</v>
      </c>
      <c r="AC15" s="41" t="n">
        <f aca="false">AC14-AC12</f>
        <v>32684.238825</v>
      </c>
      <c r="AD15" s="41" t="n">
        <f aca="false">AD14-AD12</f>
        <v>34318.45076625</v>
      </c>
      <c r="AE15" s="41" t="n">
        <f aca="false">AE14-AE12</f>
        <v>35952.6627075</v>
      </c>
      <c r="AF15" s="41" t="n">
        <f aca="false">AF14-AF12</f>
        <v>35952.6627075</v>
      </c>
      <c r="AG15" s="41" t="n">
        <f aca="false">AG14-AG12</f>
        <v>34318.45076625</v>
      </c>
      <c r="AH15" s="41" t="n">
        <f aca="false">AH14-AH12</f>
        <v>32684.238825</v>
      </c>
      <c r="AI15" s="41" t="n">
        <f aca="false">AI14-AI12</f>
        <v>32684.238825</v>
      </c>
      <c r="AJ15" s="41" t="n">
        <f aca="false">AJ14-AJ12</f>
        <v>32684.238825</v>
      </c>
      <c r="AK15" s="41" t="n">
        <f aca="false">AK14-AK12</f>
        <v>31050.02688375</v>
      </c>
      <c r="AL15" s="41" t="n">
        <f aca="false">AL14-AL12</f>
        <v>31050.02688375</v>
      </c>
      <c r="AM15" s="41" t="n">
        <f aca="false">AM14-AM12</f>
        <v>32246.2114241535</v>
      </c>
      <c r="AN15" s="41" t="n">
        <f aca="false">AN14-AN12</f>
        <v>32246.2114241535</v>
      </c>
      <c r="AO15" s="41" t="n">
        <f aca="false">AO14-AO12</f>
        <v>35829.123804615</v>
      </c>
      <c r="AP15" s="41" t="n">
        <f aca="false">AP14-AP12</f>
        <v>37620.5799948458</v>
      </c>
      <c r="AQ15" s="41" t="n">
        <f aca="false">AQ14-AQ12</f>
        <v>39412.0361850765</v>
      </c>
      <c r="AR15" s="41" t="n">
        <f aca="false">AR14-AR12</f>
        <v>39412.0361850765</v>
      </c>
      <c r="AS15" s="41" t="n">
        <f aca="false">AS14-AS12</f>
        <v>37620.5799948458</v>
      </c>
      <c r="AT15" s="41" t="n">
        <f aca="false">AT14-AT12</f>
        <v>35829.123804615</v>
      </c>
      <c r="AU15" s="41" t="n">
        <f aca="false">AU14-AU12</f>
        <v>35829.123804615</v>
      </c>
      <c r="AV15" s="41" t="n">
        <f aca="false">AV14-AV12</f>
        <v>35829.123804615</v>
      </c>
      <c r="AW15" s="41" t="n">
        <f aca="false">AW14-AW12</f>
        <v>34037.6676143843</v>
      </c>
      <c r="AX15" s="41" t="n">
        <f aca="false">AX14-AX12</f>
        <v>34037.6676143843</v>
      </c>
      <c r="AY15" s="41" t="n">
        <f aca="false">AY14-AY12</f>
        <v>35360.7209176715</v>
      </c>
      <c r="AZ15" s="41" t="n">
        <f aca="false">AZ14-AZ12</f>
        <v>35360.7209176715</v>
      </c>
      <c r="BA15" s="41" t="n">
        <f aca="false">BA14-BA12</f>
        <v>39289.6899085239</v>
      </c>
      <c r="BB15" s="41" t="n">
        <f aca="false">BB14-BB12</f>
        <v>41254.1744039501</v>
      </c>
      <c r="BC15" s="41" t="n">
        <f aca="false">BC14-BC12</f>
        <v>43218.6588993763</v>
      </c>
      <c r="BD15" s="41" t="n">
        <f aca="false">BD14-BD12</f>
        <v>43218.6588993763</v>
      </c>
      <c r="BE15" s="41" t="n">
        <f aca="false">BE14-BE12</f>
        <v>41254.1744039501</v>
      </c>
      <c r="BF15" s="41" t="n">
        <f aca="false">BF14-BF12</f>
        <v>39289.6899085239</v>
      </c>
      <c r="BG15" s="41" t="n">
        <f aca="false">BG14-BG12</f>
        <v>39289.6899085239</v>
      </c>
      <c r="BH15" s="41" t="n">
        <f aca="false">BH14-BH12</f>
        <v>39289.6899085239</v>
      </c>
      <c r="BI15" s="41" t="n">
        <f aca="false">BI14-BI12</f>
        <v>37325.2054130977</v>
      </c>
      <c r="BJ15" s="41" t="n">
        <f aca="false">BJ14-BJ12</f>
        <v>37325.2054130977</v>
      </c>
      <c r="BK15" s="42" t="n">
        <f aca="false">SUMIF($C$5:$BJ$5,BK$5,$C15:$BJ15)</f>
        <v>287768.25</v>
      </c>
      <c r="BL15" s="42" t="n">
        <f aca="false">SUMIF($C$5:$BJ$5,BL$5,$C15:$BJ15)</f>
        <v>357902.1</v>
      </c>
      <c r="BM15" s="42" t="n">
        <f aca="false">SUMIF($C$5:$BJ$5,BM$5,$C15:$BJ15)</f>
        <v>392210.8659</v>
      </c>
      <c r="BN15" s="42" t="n">
        <f aca="false">SUMIF($C$5:$BJ$5,BN$5,$C15:$BJ15)</f>
        <v>429949.48565538</v>
      </c>
      <c r="BO15" s="42" t="n">
        <f aca="false">SUMIF($C$5:$BJ$5,BO$5,$C15:$BJ15)</f>
        <v>471476.278902287</v>
      </c>
    </row>
    <row r="16" customFormat="false" ht="15" hidden="false" customHeight="false" outlineLevel="0" collapsed="false">
      <c r="A16" s="18" t="s">
        <v>236</v>
      </c>
      <c r="B16" s="2"/>
      <c r="C16" s="24" t="n">
        <f aca="false">IF(C14=0,0,C15/C14)</f>
        <v>0.698076923076923</v>
      </c>
      <c r="D16" s="24" t="n">
        <f aca="false">IF(D14=0,0,D15/D14)</f>
        <v>0.698076923076923</v>
      </c>
      <c r="E16" s="24" t="n">
        <f aca="false">IF(E14=0,0,E15/E14)</f>
        <v>0.698076923076923</v>
      </c>
      <c r="F16" s="24" t="n">
        <f aca="false">IF(F14=0,0,F15/F14)</f>
        <v>0.698076923076923</v>
      </c>
      <c r="G16" s="24" t="n">
        <f aca="false">IF(G14=0,0,G15/G14)</f>
        <v>0.698076923076923</v>
      </c>
      <c r="H16" s="24" t="n">
        <f aca="false">IF(H14=0,0,H15/H14)</f>
        <v>0.698076923076923</v>
      </c>
      <c r="I16" s="24" t="n">
        <f aca="false">IF(I14=0,0,I15/I14)</f>
        <v>0.698076923076923</v>
      </c>
      <c r="J16" s="24" t="n">
        <f aca="false">IF(J14=0,0,J15/J14)</f>
        <v>0.698076923076923</v>
      </c>
      <c r="K16" s="24" t="n">
        <f aca="false">IF(K14=0,0,K15/K14)</f>
        <v>0.698076923076923</v>
      </c>
      <c r="L16" s="24" t="n">
        <f aca="false">IF(L14=0,0,L15/L14)</f>
        <v>0.698076923076923</v>
      </c>
      <c r="M16" s="24" t="n">
        <f aca="false">IF(M14=0,0,M15/M14)</f>
        <v>0.698076923076923</v>
      </c>
      <c r="N16" s="24" t="n">
        <f aca="false">IF(N14=0,0,N15/N14)</f>
        <v>0.698076923076923</v>
      </c>
      <c r="O16" s="24" t="n">
        <f aca="false">IF(O14=0,0,O15/O14)</f>
        <v>0.699973597127368</v>
      </c>
      <c r="P16" s="24" t="n">
        <f aca="false">IF(P14=0,0,P15/P14)</f>
        <v>0.699973597127368</v>
      </c>
      <c r="Q16" s="24" t="n">
        <f aca="false">IF(Q14=0,0,Q15/Q14)</f>
        <v>0.699973597127367</v>
      </c>
      <c r="R16" s="24" t="n">
        <f aca="false">IF(R14=0,0,R15/R14)</f>
        <v>0.699973597127368</v>
      </c>
      <c r="S16" s="24" t="n">
        <f aca="false">IF(S14=0,0,S15/S14)</f>
        <v>0.699973597127367</v>
      </c>
      <c r="T16" s="24" t="n">
        <f aca="false">IF(T14=0,0,T15/T14)</f>
        <v>0.699973597127367</v>
      </c>
      <c r="U16" s="24" t="n">
        <f aca="false">IF(U14=0,0,U15/U14)</f>
        <v>0.699973597127368</v>
      </c>
      <c r="V16" s="24" t="n">
        <f aca="false">IF(V14=0,0,V15/V14)</f>
        <v>0.699973597127367</v>
      </c>
      <c r="W16" s="24" t="n">
        <f aca="false">IF(W14=0,0,W15/W14)</f>
        <v>0.699973597127367</v>
      </c>
      <c r="X16" s="24" t="n">
        <f aca="false">IF(X14=0,0,X15/X14)</f>
        <v>0.699973597127367</v>
      </c>
      <c r="Y16" s="24" t="n">
        <f aca="false">IF(Y14=0,0,Y15/Y14)</f>
        <v>0.699973597127368</v>
      </c>
      <c r="Z16" s="24" t="n">
        <f aca="false">IF(Z14=0,0,Z15/Z14)</f>
        <v>0.699973597127368</v>
      </c>
      <c r="AA16" s="24" t="n">
        <f aca="false">IF(AA14=0,0,AA15/AA14)</f>
        <v>0.701880414276669</v>
      </c>
      <c r="AB16" s="24" t="n">
        <f aca="false">IF(AB14=0,0,AB15/AB14)</f>
        <v>0.701880414276669</v>
      </c>
      <c r="AC16" s="24" t="n">
        <f aca="false">IF(AC14=0,0,AC15/AC14)</f>
        <v>0.701880414276669</v>
      </c>
      <c r="AD16" s="24" t="n">
        <f aca="false">IF(AD14=0,0,AD15/AD14)</f>
        <v>0.701880414276669</v>
      </c>
      <c r="AE16" s="24" t="n">
        <f aca="false">IF(AE14=0,0,AE15/AE14)</f>
        <v>0.701880414276669</v>
      </c>
      <c r="AF16" s="24" t="n">
        <f aca="false">IF(AF14=0,0,AF15/AF14)</f>
        <v>0.701880414276669</v>
      </c>
      <c r="AG16" s="24" t="n">
        <f aca="false">IF(AG14=0,0,AG15/AG14)</f>
        <v>0.701880414276669</v>
      </c>
      <c r="AH16" s="24" t="n">
        <f aca="false">IF(AH14=0,0,AH15/AH14)</f>
        <v>0.701880414276669</v>
      </c>
      <c r="AI16" s="24" t="n">
        <f aca="false">IF(AI14=0,0,AI15/AI14)</f>
        <v>0.701880414276669</v>
      </c>
      <c r="AJ16" s="24" t="n">
        <f aca="false">IF(AJ14=0,0,AJ15/AJ14)</f>
        <v>0.701880414276669</v>
      </c>
      <c r="AK16" s="24" t="n">
        <f aca="false">IF(AK14=0,0,AK15/AK14)</f>
        <v>0.701880414276669</v>
      </c>
      <c r="AL16" s="24" t="n">
        <f aca="false">IF(AL14=0,0,AL15/AL14)</f>
        <v>0.701880414276669</v>
      </c>
      <c r="AM16" s="24" t="n">
        <f aca="false">IF(AM14=0,0,AM15/AM14)</f>
        <v>0.703797120916444</v>
      </c>
      <c r="AN16" s="24" t="n">
        <f aca="false">IF(AN14=0,0,AN15/AN14)</f>
        <v>0.703797120916444</v>
      </c>
      <c r="AO16" s="24" t="n">
        <f aca="false">IF(AO14=0,0,AO15/AO14)</f>
        <v>0.703797120916444</v>
      </c>
      <c r="AP16" s="24" t="n">
        <f aca="false">IF(AP14=0,0,AP15/AP14)</f>
        <v>0.703797120916444</v>
      </c>
      <c r="AQ16" s="24" t="n">
        <f aca="false">IF(AQ14=0,0,AQ15/AQ14)</f>
        <v>0.703797120916444</v>
      </c>
      <c r="AR16" s="24" t="n">
        <f aca="false">IF(AR14=0,0,AR15/AR14)</f>
        <v>0.703797120916444</v>
      </c>
      <c r="AS16" s="24" t="n">
        <f aca="false">IF(AS14=0,0,AS15/AS14)</f>
        <v>0.703797120916444</v>
      </c>
      <c r="AT16" s="24" t="n">
        <f aca="false">IF(AT14=0,0,AT15/AT14)</f>
        <v>0.703797120916444</v>
      </c>
      <c r="AU16" s="24" t="n">
        <f aca="false">IF(AU14=0,0,AU15/AU14)</f>
        <v>0.703797120916444</v>
      </c>
      <c r="AV16" s="24" t="n">
        <f aca="false">IF(AV14=0,0,AV15/AV14)</f>
        <v>0.703797120916444</v>
      </c>
      <c r="AW16" s="24" t="n">
        <f aca="false">IF(AW14=0,0,AW15/AW14)</f>
        <v>0.703797120916444</v>
      </c>
      <c r="AX16" s="24" t="n">
        <f aca="false">IF(AX14=0,0,AX15/AX14)</f>
        <v>0.703797120916444</v>
      </c>
      <c r="AY16" s="24" t="n">
        <f aca="false">IF(AY14=0,0,AY15/AY14)</f>
        <v>0.705723434300696</v>
      </c>
      <c r="AZ16" s="24" t="n">
        <f aca="false">IF(AZ14=0,0,AZ15/AZ14)</f>
        <v>0.705723434300696</v>
      </c>
      <c r="BA16" s="24" t="n">
        <f aca="false">IF(BA14=0,0,BA15/BA14)</f>
        <v>0.705723434300696</v>
      </c>
      <c r="BB16" s="24" t="n">
        <f aca="false">IF(BB14=0,0,BB15/BB14)</f>
        <v>0.705723434300696</v>
      </c>
      <c r="BC16" s="24" t="n">
        <f aca="false">IF(BC14=0,0,BC15/BC14)</f>
        <v>0.705723434300696</v>
      </c>
      <c r="BD16" s="24" t="n">
        <f aca="false">IF(BD14=0,0,BD15/BD14)</f>
        <v>0.705723434300696</v>
      </c>
      <c r="BE16" s="24" t="n">
        <f aca="false">IF(BE14=0,0,BE15/BE14)</f>
        <v>0.705723434300696</v>
      </c>
      <c r="BF16" s="24" t="n">
        <f aca="false">IF(BF14=0,0,BF15/BF14)</f>
        <v>0.705723434300696</v>
      </c>
      <c r="BG16" s="24" t="n">
        <f aca="false">IF(BG14=0,0,BG15/BG14)</f>
        <v>0.705723434300696</v>
      </c>
      <c r="BH16" s="24" t="n">
        <f aca="false">IF(BH14=0,0,BH15/BH14)</f>
        <v>0.705723434300696</v>
      </c>
      <c r="BI16" s="24" t="n">
        <f aca="false">IF(BI14=0,0,BI15/BI14)</f>
        <v>0.705723434300696</v>
      </c>
      <c r="BJ16" s="24" t="n">
        <f aca="false">IF(BJ14=0,0,BJ15/BJ14)</f>
        <v>0.705723434300696</v>
      </c>
      <c r="BK16" s="45" t="n">
        <f aca="false">IF(BK14=0,0,BK15/BK14)</f>
        <v>0.698076923076923</v>
      </c>
      <c r="BL16" s="45" t="n">
        <f aca="false">IF(BL14=0,0,BL15/BL14)</f>
        <v>0.699973597127367</v>
      </c>
      <c r="BM16" s="45" t="n">
        <f aca="false">IF(BM14=0,0,BM15/BM14)</f>
        <v>0.701880414276669</v>
      </c>
      <c r="BN16" s="45" t="n">
        <f aca="false">IF(BN14=0,0,BN15/BN14)</f>
        <v>0.703797120916444</v>
      </c>
      <c r="BO16" s="45" t="n">
        <f aca="false">IF(BO14=0,0,BO15/BO14)</f>
        <v>0.705723434300696</v>
      </c>
    </row>
  </sheetData>
  <printOptions headings="false" gridLines="false" gridLinesSet="true" horizontalCentered="false" verticalCentered="false"/>
  <pageMargins left="0.75" right="0.75" top="1" bottom="1" header="0.511811023622047" footer="0.511811023622047"/>
  <pageSetup paperSize="1" scale="100" fitToWidth="6" fitToHeight="1"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O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2" min="2" style="0" width="10"/>
    <col collapsed="false" customWidth="true" hidden="false" outlineLevel="0" max="62" min="3" style="0" width="11"/>
    <col collapsed="false" customWidth="true" hidden="false" outlineLevel="0" max="67" min="63" style="0" width="13"/>
  </cols>
  <sheetData>
    <row r="1" customFormat="false" ht="17.35" hidden="false" customHeight="false" outlineLevel="0" collapsed="false">
      <c r="A1" s="1" t="s">
        <v>31</v>
      </c>
    </row>
    <row r="2" customFormat="false" ht="15" hidden="false" customHeight="false" outlineLevel="0" collapsed="false">
      <c r="A2" s="2" t="s">
        <v>237</v>
      </c>
    </row>
    <row r="4" customFormat="false" ht="15" hidden="false" customHeight="false" outlineLevel="0" collapsed="false">
      <c r="A4" s="13" t="s">
        <v>216</v>
      </c>
      <c r="C4" s="28" t="n">
        <v>1</v>
      </c>
      <c r="D4" s="28" t="n">
        <v>2</v>
      </c>
      <c r="E4" s="28" t="n">
        <v>3</v>
      </c>
      <c r="F4" s="28" t="n">
        <v>4</v>
      </c>
      <c r="G4" s="28" t="n">
        <v>5</v>
      </c>
      <c r="H4" s="28" t="n">
        <v>6</v>
      </c>
      <c r="I4" s="28" t="n">
        <v>7</v>
      </c>
      <c r="J4" s="28" t="n">
        <v>8</v>
      </c>
      <c r="K4" s="28" t="n">
        <v>9</v>
      </c>
      <c r="L4" s="28" t="n">
        <v>10</v>
      </c>
      <c r="M4" s="28" t="n">
        <v>11</v>
      </c>
      <c r="N4" s="28" t="n">
        <v>12</v>
      </c>
      <c r="O4" s="28" t="n">
        <v>13</v>
      </c>
      <c r="P4" s="28" t="n">
        <v>14</v>
      </c>
      <c r="Q4" s="28" t="n">
        <v>15</v>
      </c>
      <c r="R4" s="28" t="n">
        <v>16</v>
      </c>
      <c r="S4" s="28" t="n">
        <v>17</v>
      </c>
      <c r="T4" s="28" t="n">
        <v>18</v>
      </c>
      <c r="U4" s="28" t="n">
        <v>19</v>
      </c>
      <c r="V4" s="28" t="n">
        <v>20</v>
      </c>
      <c r="W4" s="28" t="n">
        <v>21</v>
      </c>
      <c r="X4" s="28" t="n">
        <v>22</v>
      </c>
      <c r="Y4" s="28" t="n">
        <v>23</v>
      </c>
      <c r="Z4" s="28" t="n">
        <v>24</v>
      </c>
      <c r="AA4" s="28" t="n">
        <v>25</v>
      </c>
      <c r="AB4" s="28" t="n">
        <v>26</v>
      </c>
      <c r="AC4" s="28" t="n">
        <v>27</v>
      </c>
      <c r="AD4" s="28" t="n">
        <v>28</v>
      </c>
      <c r="AE4" s="28" t="n">
        <v>29</v>
      </c>
      <c r="AF4" s="28" t="n">
        <v>30</v>
      </c>
      <c r="AG4" s="28" t="n">
        <v>31</v>
      </c>
      <c r="AH4" s="28" t="n">
        <v>32</v>
      </c>
      <c r="AI4" s="28" t="n">
        <v>33</v>
      </c>
      <c r="AJ4" s="28" t="n">
        <v>34</v>
      </c>
      <c r="AK4" s="28" t="n">
        <v>35</v>
      </c>
      <c r="AL4" s="28" t="n">
        <v>36</v>
      </c>
      <c r="AM4" s="28" t="n">
        <v>37</v>
      </c>
      <c r="AN4" s="28" t="n">
        <v>38</v>
      </c>
      <c r="AO4" s="28" t="n">
        <v>39</v>
      </c>
      <c r="AP4" s="28" t="n">
        <v>40</v>
      </c>
      <c r="AQ4" s="28" t="n">
        <v>41</v>
      </c>
      <c r="AR4" s="28" t="n">
        <v>42</v>
      </c>
      <c r="AS4" s="28" t="n">
        <v>43</v>
      </c>
      <c r="AT4" s="28" t="n">
        <v>44</v>
      </c>
      <c r="AU4" s="28" t="n">
        <v>45</v>
      </c>
      <c r="AV4" s="28" t="n">
        <v>46</v>
      </c>
      <c r="AW4" s="28" t="n">
        <v>47</v>
      </c>
      <c r="AX4" s="28" t="n">
        <v>48</v>
      </c>
      <c r="AY4" s="28" t="n">
        <v>49</v>
      </c>
      <c r="AZ4" s="28" t="n">
        <v>50</v>
      </c>
      <c r="BA4" s="28" t="n">
        <v>51</v>
      </c>
      <c r="BB4" s="28" t="n">
        <v>52</v>
      </c>
      <c r="BC4" s="28" t="n">
        <v>53</v>
      </c>
      <c r="BD4" s="28" t="n">
        <v>54</v>
      </c>
      <c r="BE4" s="28" t="n">
        <v>55</v>
      </c>
      <c r="BF4" s="28" t="n">
        <v>56</v>
      </c>
      <c r="BG4" s="28" t="n">
        <v>57</v>
      </c>
      <c r="BH4" s="28" t="n">
        <v>58</v>
      </c>
      <c r="BI4" s="28" t="n">
        <v>59</v>
      </c>
      <c r="BJ4" s="28" t="n">
        <v>60</v>
      </c>
      <c r="BK4" s="29" t="s">
        <v>217</v>
      </c>
      <c r="BL4" s="29" t="s">
        <v>217</v>
      </c>
      <c r="BM4" s="29" t="s">
        <v>217</v>
      </c>
      <c r="BN4" s="29" t="s">
        <v>217</v>
      </c>
      <c r="BO4" s="29" t="s">
        <v>217</v>
      </c>
    </row>
    <row r="5" customFormat="false" ht="15" hidden="false" customHeight="false" outlineLevel="0" collapsed="false">
      <c r="A5" s="13" t="s">
        <v>218</v>
      </c>
      <c r="C5" s="30" t="n">
        <f aca="false">INT((C4-1)/12)+1</f>
        <v>1</v>
      </c>
      <c r="D5" s="30" t="n">
        <f aca="false">INT((D4-1)/12)+1</f>
        <v>1</v>
      </c>
      <c r="E5" s="30" t="n">
        <f aca="false">INT((E4-1)/12)+1</f>
        <v>1</v>
      </c>
      <c r="F5" s="30" t="n">
        <f aca="false">INT((F4-1)/12)+1</f>
        <v>1</v>
      </c>
      <c r="G5" s="30" t="n">
        <f aca="false">INT((G4-1)/12)+1</f>
        <v>1</v>
      </c>
      <c r="H5" s="30" t="n">
        <f aca="false">INT((H4-1)/12)+1</f>
        <v>1</v>
      </c>
      <c r="I5" s="30" t="n">
        <f aca="false">INT((I4-1)/12)+1</f>
        <v>1</v>
      </c>
      <c r="J5" s="30" t="n">
        <f aca="false">INT((J4-1)/12)+1</f>
        <v>1</v>
      </c>
      <c r="K5" s="30" t="n">
        <f aca="false">INT((K4-1)/12)+1</f>
        <v>1</v>
      </c>
      <c r="L5" s="30" t="n">
        <f aca="false">INT((L4-1)/12)+1</f>
        <v>1</v>
      </c>
      <c r="M5" s="30" t="n">
        <f aca="false">INT((M4-1)/12)+1</f>
        <v>1</v>
      </c>
      <c r="N5" s="30" t="n">
        <f aca="false">INT((N4-1)/12)+1</f>
        <v>1</v>
      </c>
      <c r="O5" s="30" t="n">
        <f aca="false">INT((O4-1)/12)+1</f>
        <v>2</v>
      </c>
      <c r="P5" s="30" t="n">
        <f aca="false">INT((P4-1)/12)+1</f>
        <v>2</v>
      </c>
      <c r="Q5" s="30" t="n">
        <f aca="false">INT((Q4-1)/12)+1</f>
        <v>2</v>
      </c>
      <c r="R5" s="30" t="n">
        <f aca="false">INT((R4-1)/12)+1</f>
        <v>2</v>
      </c>
      <c r="S5" s="30" t="n">
        <f aca="false">INT((S4-1)/12)+1</f>
        <v>2</v>
      </c>
      <c r="T5" s="30" t="n">
        <f aca="false">INT((T4-1)/12)+1</f>
        <v>2</v>
      </c>
      <c r="U5" s="30" t="n">
        <f aca="false">INT((U4-1)/12)+1</f>
        <v>2</v>
      </c>
      <c r="V5" s="30" t="n">
        <f aca="false">INT((V4-1)/12)+1</f>
        <v>2</v>
      </c>
      <c r="W5" s="30" t="n">
        <f aca="false">INT((W4-1)/12)+1</f>
        <v>2</v>
      </c>
      <c r="X5" s="30" t="n">
        <f aca="false">INT((X4-1)/12)+1</f>
        <v>2</v>
      </c>
      <c r="Y5" s="30" t="n">
        <f aca="false">INT((Y4-1)/12)+1</f>
        <v>2</v>
      </c>
      <c r="Z5" s="30" t="n">
        <f aca="false">INT((Z4-1)/12)+1</f>
        <v>2</v>
      </c>
      <c r="AA5" s="30" t="n">
        <f aca="false">INT((AA4-1)/12)+1</f>
        <v>3</v>
      </c>
      <c r="AB5" s="30" t="n">
        <f aca="false">INT((AB4-1)/12)+1</f>
        <v>3</v>
      </c>
      <c r="AC5" s="30" t="n">
        <f aca="false">INT((AC4-1)/12)+1</f>
        <v>3</v>
      </c>
      <c r="AD5" s="30" t="n">
        <f aca="false">INT((AD4-1)/12)+1</f>
        <v>3</v>
      </c>
      <c r="AE5" s="30" t="n">
        <f aca="false">INT((AE4-1)/12)+1</f>
        <v>3</v>
      </c>
      <c r="AF5" s="30" t="n">
        <f aca="false">INT((AF4-1)/12)+1</f>
        <v>3</v>
      </c>
      <c r="AG5" s="30" t="n">
        <f aca="false">INT((AG4-1)/12)+1</f>
        <v>3</v>
      </c>
      <c r="AH5" s="30" t="n">
        <f aca="false">INT((AH4-1)/12)+1</f>
        <v>3</v>
      </c>
      <c r="AI5" s="30" t="n">
        <f aca="false">INT((AI4-1)/12)+1</f>
        <v>3</v>
      </c>
      <c r="AJ5" s="30" t="n">
        <f aca="false">INT((AJ4-1)/12)+1</f>
        <v>3</v>
      </c>
      <c r="AK5" s="30" t="n">
        <f aca="false">INT((AK4-1)/12)+1</f>
        <v>3</v>
      </c>
      <c r="AL5" s="30" t="n">
        <f aca="false">INT((AL4-1)/12)+1</f>
        <v>3</v>
      </c>
      <c r="AM5" s="30" t="n">
        <f aca="false">INT((AM4-1)/12)+1</f>
        <v>4</v>
      </c>
      <c r="AN5" s="30" t="n">
        <f aca="false">INT((AN4-1)/12)+1</f>
        <v>4</v>
      </c>
      <c r="AO5" s="30" t="n">
        <f aca="false">INT((AO4-1)/12)+1</f>
        <v>4</v>
      </c>
      <c r="AP5" s="30" t="n">
        <f aca="false">INT((AP4-1)/12)+1</f>
        <v>4</v>
      </c>
      <c r="AQ5" s="30" t="n">
        <f aca="false">INT((AQ4-1)/12)+1</f>
        <v>4</v>
      </c>
      <c r="AR5" s="30" t="n">
        <f aca="false">INT((AR4-1)/12)+1</f>
        <v>4</v>
      </c>
      <c r="AS5" s="30" t="n">
        <f aca="false">INT((AS4-1)/12)+1</f>
        <v>4</v>
      </c>
      <c r="AT5" s="30" t="n">
        <f aca="false">INT((AT4-1)/12)+1</f>
        <v>4</v>
      </c>
      <c r="AU5" s="30" t="n">
        <f aca="false">INT((AU4-1)/12)+1</f>
        <v>4</v>
      </c>
      <c r="AV5" s="30" t="n">
        <f aca="false">INT((AV4-1)/12)+1</f>
        <v>4</v>
      </c>
      <c r="AW5" s="30" t="n">
        <f aca="false">INT((AW4-1)/12)+1</f>
        <v>4</v>
      </c>
      <c r="AX5" s="30" t="n">
        <f aca="false">INT((AX4-1)/12)+1</f>
        <v>4</v>
      </c>
      <c r="AY5" s="30" t="n">
        <f aca="false">INT((AY4-1)/12)+1</f>
        <v>5</v>
      </c>
      <c r="AZ5" s="30" t="n">
        <f aca="false">INT((AZ4-1)/12)+1</f>
        <v>5</v>
      </c>
      <c r="BA5" s="30" t="n">
        <f aca="false">INT((BA4-1)/12)+1</f>
        <v>5</v>
      </c>
      <c r="BB5" s="30" t="n">
        <f aca="false">INT((BB4-1)/12)+1</f>
        <v>5</v>
      </c>
      <c r="BC5" s="30" t="n">
        <f aca="false">INT((BC4-1)/12)+1</f>
        <v>5</v>
      </c>
      <c r="BD5" s="30" t="n">
        <f aca="false">INT((BD4-1)/12)+1</f>
        <v>5</v>
      </c>
      <c r="BE5" s="30" t="n">
        <f aca="false">INT((BE4-1)/12)+1</f>
        <v>5</v>
      </c>
      <c r="BF5" s="30" t="n">
        <f aca="false">INT((BF4-1)/12)+1</f>
        <v>5</v>
      </c>
      <c r="BG5" s="30" t="n">
        <f aca="false">INT((BG4-1)/12)+1</f>
        <v>5</v>
      </c>
      <c r="BH5" s="30" t="n">
        <f aca="false">INT((BH4-1)/12)+1</f>
        <v>5</v>
      </c>
      <c r="BI5" s="30" t="n">
        <f aca="false">INT((BI4-1)/12)+1</f>
        <v>5</v>
      </c>
      <c r="BJ5" s="30" t="n">
        <f aca="false">INT((BJ4-1)/12)+1</f>
        <v>5</v>
      </c>
      <c r="BK5" s="28" t="n">
        <v>1</v>
      </c>
      <c r="BL5" s="28" t="n">
        <v>2</v>
      </c>
      <c r="BM5" s="28" t="n">
        <v>3</v>
      </c>
      <c r="BN5" s="28" t="n">
        <v>4</v>
      </c>
      <c r="BO5" s="28" t="n">
        <v>5</v>
      </c>
    </row>
    <row r="6" customFormat="false" ht="15" hidden="false" customHeight="false" outlineLevel="0" collapsed="false">
      <c r="A6" s="5" t="s">
        <v>219</v>
      </c>
      <c r="B6" s="5" t="s">
        <v>74</v>
      </c>
      <c r="C6" s="31" t="n">
        <f aca="false">EDATE(Assumptions!$C$7,C4-1)</f>
        <v>46388</v>
      </c>
      <c r="D6" s="31" t="n">
        <f aca="false">EDATE(Assumptions!$C$7,D4-1)</f>
        <v>46419</v>
      </c>
      <c r="E6" s="31" t="n">
        <f aca="false">EDATE(Assumptions!$C$7,E4-1)</f>
        <v>46447</v>
      </c>
      <c r="F6" s="31" t="n">
        <f aca="false">EDATE(Assumptions!$C$7,F4-1)</f>
        <v>46478</v>
      </c>
      <c r="G6" s="31" t="n">
        <f aca="false">EDATE(Assumptions!$C$7,G4-1)</f>
        <v>46508</v>
      </c>
      <c r="H6" s="31" t="n">
        <f aca="false">EDATE(Assumptions!$C$7,H4-1)</f>
        <v>46539</v>
      </c>
      <c r="I6" s="31" t="n">
        <f aca="false">EDATE(Assumptions!$C$7,I4-1)</f>
        <v>46569</v>
      </c>
      <c r="J6" s="31" t="n">
        <f aca="false">EDATE(Assumptions!$C$7,J4-1)</f>
        <v>46600</v>
      </c>
      <c r="K6" s="31" t="n">
        <f aca="false">EDATE(Assumptions!$C$7,K4-1)</f>
        <v>46631</v>
      </c>
      <c r="L6" s="31" t="n">
        <f aca="false">EDATE(Assumptions!$C$7,L4-1)</f>
        <v>46661</v>
      </c>
      <c r="M6" s="31" t="n">
        <f aca="false">EDATE(Assumptions!$C$7,M4-1)</f>
        <v>46692</v>
      </c>
      <c r="N6" s="31" t="n">
        <f aca="false">EDATE(Assumptions!$C$7,N4-1)</f>
        <v>46722</v>
      </c>
      <c r="O6" s="31" t="n">
        <f aca="false">EDATE(Assumptions!$C$7,O4-1)</f>
        <v>46753</v>
      </c>
      <c r="P6" s="31" t="n">
        <f aca="false">EDATE(Assumptions!$C$7,P4-1)</f>
        <v>46784</v>
      </c>
      <c r="Q6" s="31" t="n">
        <f aca="false">EDATE(Assumptions!$C$7,Q4-1)</f>
        <v>46813</v>
      </c>
      <c r="R6" s="31" t="n">
        <f aca="false">EDATE(Assumptions!$C$7,R4-1)</f>
        <v>46844</v>
      </c>
      <c r="S6" s="31" t="n">
        <f aca="false">EDATE(Assumptions!$C$7,S4-1)</f>
        <v>46874</v>
      </c>
      <c r="T6" s="31" t="n">
        <f aca="false">EDATE(Assumptions!$C$7,T4-1)</f>
        <v>46905</v>
      </c>
      <c r="U6" s="31" t="n">
        <f aca="false">EDATE(Assumptions!$C$7,U4-1)</f>
        <v>46935</v>
      </c>
      <c r="V6" s="31" t="n">
        <f aca="false">EDATE(Assumptions!$C$7,V4-1)</f>
        <v>46966</v>
      </c>
      <c r="W6" s="31" t="n">
        <f aca="false">EDATE(Assumptions!$C$7,W4-1)</f>
        <v>46997</v>
      </c>
      <c r="X6" s="31" t="n">
        <f aca="false">EDATE(Assumptions!$C$7,X4-1)</f>
        <v>47027</v>
      </c>
      <c r="Y6" s="31" t="n">
        <f aca="false">EDATE(Assumptions!$C$7,Y4-1)</f>
        <v>47058</v>
      </c>
      <c r="Z6" s="31" t="n">
        <f aca="false">EDATE(Assumptions!$C$7,Z4-1)</f>
        <v>47088</v>
      </c>
      <c r="AA6" s="31" t="n">
        <f aca="false">EDATE(Assumptions!$C$7,AA4-1)</f>
        <v>47119</v>
      </c>
      <c r="AB6" s="31" t="n">
        <f aca="false">EDATE(Assumptions!$C$7,AB4-1)</f>
        <v>47150</v>
      </c>
      <c r="AC6" s="31" t="n">
        <f aca="false">EDATE(Assumptions!$C$7,AC4-1)</f>
        <v>47178</v>
      </c>
      <c r="AD6" s="31" t="n">
        <f aca="false">EDATE(Assumptions!$C$7,AD4-1)</f>
        <v>47209</v>
      </c>
      <c r="AE6" s="31" t="n">
        <f aca="false">EDATE(Assumptions!$C$7,AE4-1)</f>
        <v>47239</v>
      </c>
      <c r="AF6" s="31" t="n">
        <f aca="false">EDATE(Assumptions!$C$7,AF4-1)</f>
        <v>47270</v>
      </c>
      <c r="AG6" s="31" t="n">
        <f aca="false">EDATE(Assumptions!$C$7,AG4-1)</f>
        <v>47300</v>
      </c>
      <c r="AH6" s="31" t="n">
        <f aca="false">EDATE(Assumptions!$C$7,AH4-1)</f>
        <v>47331</v>
      </c>
      <c r="AI6" s="31" t="n">
        <f aca="false">EDATE(Assumptions!$C$7,AI4-1)</f>
        <v>47362</v>
      </c>
      <c r="AJ6" s="31" t="n">
        <f aca="false">EDATE(Assumptions!$C$7,AJ4-1)</f>
        <v>47392</v>
      </c>
      <c r="AK6" s="31" t="n">
        <f aca="false">EDATE(Assumptions!$C$7,AK4-1)</f>
        <v>47423</v>
      </c>
      <c r="AL6" s="31" t="n">
        <f aca="false">EDATE(Assumptions!$C$7,AL4-1)</f>
        <v>47453</v>
      </c>
      <c r="AM6" s="31" t="n">
        <f aca="false">EDATE(Assumptions!$C$7,AM4-1)</f>
        <v>47484</v>
      </c>
      <c r="AN6" s="31" t="n">
        <f aca="false">EDATE(Assumptions!$C$7,AN4-1)</f>
        <v>47515</v>
      </c>
      <c r="AO6" s="31" t="n">
        <f aca="false">EDATE(Assumptions!$C$7,AO4-1)</f>
        <v>47543</v>
      </c>
      <c r="AP6" s="31" t="n">
        <f aca="false">EDATE(Assumptions!$C$7,AP4-1)</f>
        <v>47574</v>
      </c>
      <c r="AQ6" s="31" t="n">
        <f aca="false">EDATE(Assumptions!$C$7,AQ4-1)</f>
        <v>47604</v>
      </c>
      <c r="AR6" s="31" t="n">
        <f aca="false">EDATE(Assumptions!$C$7,AR4-1)</f>
        <v>47635</v>
      </c>
      <c r="AS6" s="31" t="n">
        <f aca="false">EDATE(Assumptions!$C$7,AS4-1)</f>
        <v>47665</v>
      </c>
      <c r="AT6" s="31" t="n">
        <f aca="false">EDATE(Assumptions!$C$7,AT4-1)</f>
        <v>47696</v>
      </c>
      <c r="AU6" s="31" t="n">
        <f aca="false">EDATE(Assumptions!$C$7,AU4-1)</f>
        <v>47727</v>
      </c>
      <c r="AV6" s="31" t="n">
        <f aca="false">EDATE(Assumptions!$C$7,AV4-1)</f>
        <v>47757</v>
      </c>
      <c r="AW6" s="31" t="n">
        <f aca="false">EDATE(Assumptions!$C$7,AW4-1)</f>
        <v>47788</v>
      </c>
      <c r="AX6" s="31" t="n">
        <f aca="false">EDATE(Assumptions!$C$7,AX4-1)</f>
        <v>47818</v>
      </c>
      <c r="AY6" s="31" t="n">
        <f aca="false">EDATE(Assumptions!$C$7,AY4-1)</f>
        <v>47849</v>
      </c>
      <c r="AZ6" s="31" t="n">
        <f aca="false">EDATE(Assumptions!$C$7,AZ4-1)</f>
        <v>47880</v>
      </c>
      <c r="BA6" s="31" t="n">
        <f aca="false">EDATE(Assumptions!$C$7,BA4-1)</f>
        <v>47908</v>
      </c>
      <c r="BB6" s="31" t="n">
        <f aca="false">EDATE(Assumptions!$C$7,BB4-1)</f>
        <v>47939</v>
      </c>
      <c r="BC6" s="31" t="n">
        <f aca="false">EDATE(Assumptions!$C$7,BC4-1)</f>
        <v>47969</v>
      </c>
      <c r="BD6" s="31" t="n">
        <f aca="false">EDATE(Assumptions!$C$7,BD4-1)</f>
        <v>48000</v>
      </c>
      <c r="BE6" s="31" t="n">
        <f aca="false">EDATE(Assumptions!$C$7,BE4-1)</f>
        <v>48030</v>
      </c>
      <c r="BF6" s="31" t="n">
        <f aca="false">EDATE(Assumptions!$C$7,BF4-1)</f>
        <v>48061</v>
      </c>
      <c r="BG6" s="31" t="n">
        <f aca="false">EDATE(Assumptions!$C$7,BG4-1)</f>
        <v>48092</v>
      </c>
      <c r="BH6" s="31" t="n">
        <f aca="false">EDATE(Assumptions!$C$7,BH4-1)</f>
        <v>48122</v>
      </c>
      <c r="BI6" s="31" t="n">
        <f aca="false">EDATE(Assumptions!$C$7,BI4-1)</f>
        <v>48153</v>
      </c>
      <c r="BJ6" s="31" t="n">
        <f aca="false">EDATE(Assumptions!$C$7,BJ4-1)</f>
        <v>48183</v>
      </c>
      <c r="BK6" s="32" t="s">
        <v>54</v>
      </c>
      <c r="BL6" s="32" t="s">
        <v>55</v>
      </c>
      <c r="BM6" s="32" t="s">
        <v>56</v>
      </c>
      <c r="BN6" s="32" t="s">
        <v>220</v>
      </c>
      <c r="BO6" s="32" t="s">
        <v>221</v>
      </c>
    </row>
    <row r="7" customFormat="false" ht="15" hidden="false" customHeight="false" outlineLevel="0" collapsed="false">
      <c r="A7" s="33" t="s">
        <v>238</v>
      </c>
      <c r="B7" s="34"/>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row>
    <row r="8" customFormat="false" ht="15" hidden="false" customHeight="false" outlineLevel="0" collapsed="false">
      <c r="A8" s="18" t="str">
        <f aca="false">"Role 1: "&amp;Assumptions!$B$46</f>
        <v>Role 1: Owner-manager (example)</v>
      </c>
      <c r="B8" s="2"/>
      <c r="C8" s="14" t="n">
        <f aca="false">IF(C4&gt;=Assumptions!$E$46,Assumptions!$C$46*Assumptions!$D$46/12*(1+Assumptions!$F$46)^(C5-1),0)</f>
        <v>4166.66666666667</v>
      </c>
      <c r="D8" s="14" t="n">
        <f aca="false">IF(D4&gt;=Assumptions!$E$46,Assumptions!$C$46*Assumptions!$D$46/12*(1+Assumptions!$F$46)^(D5-1),0)</f>
        <v>4166.66666666667</v>
      </c>
      <c r="E8" s="14" t="n">
        <f aca="false">IF(E4&gt;=Assumptions!$E$46,Assumptions!$C$46*Assumptions!$D$46/12*(1+Assumptions!$F$46)^(E5-1),0)</f>
        <v>4166.66666666667</v>
      </c>
      <c r="F8" s="14" t="n">
        <f aca="false">IF(F4&gt;=Assumptions!$E$46,Assumptions!$C$46*Assumptions!$D$46/12*(1+Assumptions!$F$46)^(F5-1),0)</f>
        <v>4166.66666666667</v>
      </c>
      <c r="G8" s="14" t="n">
        <f aca="false">IF(G4&gt;=Assumptions!$E$46,Assumptions!$C$46*Assumptions!$D$46/12*(1+Assumptions!$F$46)^(G5-1),0)</f>
        <v>4166.66666666667</v>
      </c>
      <c r="H8" s="14" t="n">
        <f aca="false">IF(H4&gt;=Assumptions!$E$46,Assumptions!$C$46*Assumptions!$D$46/12*(1+Assumptions!$F$46)^(H5-1),0)</f>
        <v>4166.66666666667</v>
      </c>
      <c r="I8" s="14" t="n">
        <f aca="false">IF(I4&gt;=Assumptions!$E$46,Assumptions!$C$46*Assumptions!$D$46/12*(1+Assumptions!$F$46)^(I5-1),0)</f>
        <v>4166.66666666667</v>
      </c>
      <c r="J8" s="14" t="n">
        <f aca="false">IF(J4&gt;=Assumptions!$E$46,Assumptions!$C$46*Assumptions!$D$46/12*(1+Assumptions!$F$46)^(J5-1),0)</f>
        <v>4166.66666666667</v>
      </c>
      <c r="K8" s="14" t="n">
        <f aca="false">IF(K4&gt;=Assumptions!$E$46,Assumptions!$C$46*Assumptions!$D$46/12*(1+Assumptions!$F$46)^(K5-1),0)</f>
        <v>4166.66666666667</v>
      </c>
      <c r="L8" s="14" t="n">
        <f aca="false">IF(L4&gt;=Assumptions!$E$46,Assumptions!$C$46*Assumptions!$D$46/12*(1+Assumptions!$F$46)^(L5-1),0)</f>
        <v>4166.66666666667</v>
      </c>
      <c r="M8" s="14" t="n">
        <f aca="false">IF(M4&gt;=Assumptions!$E$46,Assumptions!$C$46*Assumptions!$D$46/12*(1+Assumptions!$F$46)^(M5-1),0)</f>
        <v>4166.66666666667</v>
      </c>
      <c r="N8" s="14" t="n">
        <f aca="false">IF(N4&gt;=Assumptions!$E$46,Assumptions!$C$46*Assumptions!$D$46/12*(1+Assumptions!$F$46)^(N5-1),0)</f>
        <v>4166.66666666667</v>
      </c>
      <c r="O8" s="14" t="n">
        <f aca="false">IF(O4&gt;=Assumptions!$E$46,Assumptions!$C$46*Assumptions!$D$46/12*(1+Assumptions!$F$46)^(O5-1),0)</f>
        <v>4291.66666666667</v>
      </c>
      <c r="P8" s="14" t="n">
        <f aca="false">IF(P4&gt;=Assumptions!$E$46,Assumptions!$C$46*Assumptions!$D$46/12*(1+Assumptions!$F$46)^(P5-1),0)</f>
        <v>4291.66666666667</v>
      </c>
      <c r="Q8" s="14" t="n">
        <f aca="false">IF(Q4&gt;=Assumptions!$E$46,Assumptions!$C$46*Assumptions!$D$46/12*(1+Assumptions!$F$46)^(Q5-1),0)</f>
        <v>4291.66666666667</v>
      </c>
      <c r="R8" s="14" t="n">
        <f aca="false">IF(R4&gt;=Assumptions!$E$46,Assumptions!$C$46*Assumptions!$D$46/12*(1+Assumptions!$F$46)^(R5-1),0)</f>
        <v>4291.66666666667</v>
      </c>
      <c r="S8" s="14" t="n">
        <f aca="false">IF(S4&gt;=Assumptions!$E$46,Assumptions!$C$46*Assumptions!$D$46/12*(1+Assumptions!$F$46)^(S5-1),0)</f>
        <v>4291.66666666667</v>
      </c>
      <c r="T8" s="14" t="n">
        <f aca="false">IF(T4&gt;=Assumptions!$E$46,Assumptions!$C$46*Assumptions!$D$46/12*(1+Assumptions!$F$46)^(T5-1),0)</f>
        <v>4291.66666666667</v>
      </c>
      <c r="U8" s="14" t="n">
        <f aca="false">IF(U4&gt;=Assumptions!$E$46,Assumptions!$C$46*Assumptions!$D$46/12*(1+Assumptions!$F$46)^(U5-1),0)</f>
        <v>4291.66666666667</v>
      </c>
      <c r="V8" s="14" t="n">
        <f aca="false">IF(V4&gt;=Assumptions!$E$46,Assumptions!$C$46*Assumptions!$D$46/12*(1+Assumptions!$F$46)^(V5-1),0)</f>
        <v>4291.66666666667</v>
      </c>
      <c r="W8" s="14" t="n">
        <f aca="false">IF(W4&gt;=Assumptions!$E$46,Assumptions!$C$46*Assumptions!$D$46/12*(1+Assumptions!$F$46)^(W5-1),0)</f>
        <v>4291.66666666667</v>
      </c>
      <c r="X8" s="14" t="n">
        <f aca="false">IF(X4&gt;=Assumptions!$E$46,Assumptions!$C$46*Assumptions!$D$46/12*(1+Assumptions!$F$46)^(X5-1),0)</f>
        <v>4291.66666666667</v>
      </c>
      <c r="Y8" s="14" t="n">
        <f aca="false">IF(Y4&gt;=Assumptions!$E$46,Assumptions!$C$46*Assumptions!$D$46/12*(1+Assumptions!$F$46)^(Y5-1),0)</f>
        <v>4291.66666666667</v>
      </c>
      <c r="Z8" s="14" t="n">
        <f aca="false">IF(Z4&gt;=Assumptions!$E$46,Assumptions!$C$46*Assumptions!$D$46/12*(1+Assumptions!$F$46)^(Z5-1),0)</f>
        <v>4291.66666666667</v>
      </c>
      <c r="AA8" s="14" t="n">
        <f aca="false">IF(AA4&gt;=Assumptions!$E$46,Assumptions!$C$46*Assumptions!$D$46/12*(1+Assumptions!$F$46)^(AA5-1),0)</f>
        <v>4420.41666666667</v>
      </c>
      <c r="AB8" s="14" t="n">
        <f aca="false">IF(AB4&gt;=Assumptions!$E$46,Assumptions!$C$46*Assumptions!$D$46/12*(1+Assumptions!$F$46)^(AB5-1),0)</f>
        <v>4420.41666666667</v>
      </c>
      <c r="AC8" s="14" t="n">
        <f aca="false">IF(AC4&gt;=Assumptions!$E$46,Assumptions!$C$46*Assumptions!$D$46/12*(1+Assumptions!$F$46)^(AC5-1),0)</f>
        <v>4420.41666666667</v>
      </c>
      <c r="AD8" s="14" t="n">
        <f aca="false">IF(AD4&gt;=Assumptions!$E$46,Assumptions!$C$46*Assumptions!$D$46/12*(1+Assumptions!$F$46)^(AD5-1),0)</f>
        <v>4420.41666666667</v>
      </c>
      <c r="AE8" s="14" t="n">
        <f aca="false">IF(AE4&gt;=Assumptions!$E$46,Assumptions!$C$46*Assumptions!$D$46/12*(1+Assumptions!$F$46)^(AE5-1),0)</f>
        <v>4420.41666666667</v>
      </c>
      <c r="AF8" s="14" t="n">
        <f aca="false">IF(AF4&gt;=Assumptions!$E$46,Assumptions!$C$46*Assumptions!$D$46/12*(1+Assumptions!$F$46)^(AF5-1),0)</f>
        <v>4420.41666666667</v>
      </c>
      <c r="AG8" s="14" t="n">
        <f aca="false">IF(AG4&gt;=Assumptions!$E$46,Assumptions!$C$46*Assumptions!$D$46/12*(1+Assumptions!$F$46)^(AG5-1),0)</f>
        <v>4420.41666666667</v>
      </c>
      <c r="AH8" s="14" t="n">
        <f aca="false">IF(AH4&gt;=Assumptions!$E$46,Assumptions!$C$46*Assumptions!$D$46/12*(1+Assumptions!$F$46)^(AH5-1),0)</f>
        <v>4420.41666666667</v>
      </c>
      <c r="AI8" s="14" t="n">
        <f aca="false">IF(AI4&gt;=Assumptions!$E$46,Assumptions!$C$46*Assumptions!$D$46/12*(1+Assumptions!$F$46)^(AI5-1),0)</f>
        <v>4420.41666666667</v>
      </c>
      <c r="AJ8" s="14" t="n">
        <f aca="false">IF(AJ4&gt;=Assumptions!$E$46,Assumptions!$C$46*Assumptions!$D$46/12*(1+Assumptions!$F$46)^(AJ5-1),0)</f>
        <v>4420.41666666667</v>
      </c>
      <c r="AK8" s="14" t="n">
        <f aca="false">IF(AK4&gt;=Assumptions!$E$46,Assumptions!$C$46*Assumptions!$D$46/12*(1+Assumptions!$F$46)^(AK5-1),0)</f>
        <v>4420.41666666667</v>
      </c>
      <c r="AL8" s="14" t="n">
        <f aca="false">IF(AL4&gt;=Assumptions!$E$46,Assumptions!$C$46*Assumptions!$D$46/12*(1+Assumptions!$F$46)^(AL5-1),0)</f>
        <v>4420.41666666667</v>
      </c>
      <c r="AM8" s="14" t="n">
        <f aca="false">IF(AM4&gt;=Assumptions!$E$46,Assumptions!$C$46*Assumptions!$D$46/12*(1+Assumptions!$F$46)^(AM5-1),0)</f>
        <v>4553.02916666667</v>
      </c>
      <c r="AN8" s="14" t="n">
        <f aca="false">IF(AN4&gt;=Assumptions!$E$46,Assumptions!$C$46*Assumptions!$D$46/12*(1+Assumptions!$F$46)^(AN5-1),0)</f>
        <v>4553.02916666667</v>
      </c>
      <c r="AO8" s="14" t="n">
        <f aca="false">IF(AO4&gt;=Assumptions!$E$46,Assumptions!$C$46*Assumptions!$D$46/12*(1+Assumptions!$F$46)^(AO5-1),0)</f>
        <v>4553.02916666667</v>
      </c>
      <c r="AP8" s="14" t="n">
        <f aca="false">IF(AP4&gt;=Assumptions!$E$46,Assumptions!$C$46*Assumptions!$D$46/12*(1+Assumptions!$F$46)^(AP5-1),0)</f>
        <v>4553.02916666667</v>
      </c>
      <c r="AQ8" s="14" t="n">
        <f aca="false">IF(AQ4&gt;=Assumptions!$E$46,Assumptions!$C$46*Assumptions!$D$46/12*(1+Assumptions!$F$46)^(AQ5-1),0)</f>
        <v>4553.02916666667</v>
      </c>
      <c r="AR8" s="14" t="n">
        <f aca="false">IF(AR4&gt;=Assumptions!$E$46,Assumptions!$C$46*Assumptions!$D$46/12*(1+Assumptions!$F$46)^(AR5-1),0)</f>
        <v>4553.02916666667</v>
      </c>
      <c r="AS8" s="14" t="n">
        <f aca="false">IF(AS4&gt;=Assumptions!$E$46,Assumptions!$C$46*Assumptions!$D$46/12*(1+Assumptions!$F$46)^(AS5-1),0)</f>
        <v>4553.02916666667</v>
      </c>
      <c r="AT8" s="14" t="n">
        <f aca="false">IF(AT4&gt;=Assumptions!$E$46,Assumptions!$C$46*Assumptions!$D$46/12*(1+Assumptions!$F$46)^(AT5-1),0)</f>
        <v>4553.02916666667</v>
      </c>
      <c r="AU8" s="14" t="n">
        <f aca="false">IF(AU4&gt;=Assumptions!$E$46,Assumptions!$C$46*Assumptions!$D$46/12*(1+Assumptions!$F$46)^(AU5-1),0)</f>
        <v>4553.02916666667</v>
      </c>
      <c r="AV8" s="14" t="n">
        <f aca="false">IF(AV4&gt;=Assumptions!$E$46,Assumptions!$C$46*Assumptions!$D$46/12*(1+Assumptions!$F$46)^(AV5-1),0)</f>
        <v>4553.02916666667</v>
      </c>
      <c r="AW8" s="14" t="n">
        <f aca="false">IF(AW4&gt;=Assumptions!$E$46,Assumptions!$C$46*Assumptions!$D$46/12*(1+Assumptions!$F$46)^(AW5-1),0)</f>
        <v>4553.02916666667</v>
      </c>
      <c r="AX8" s="14" t="n">
        <f aca="false">IF(AX4&gt;=Assumptions!$E$46,Assumptions!$C$46*Assumptions!$D$46/12*(1+Assumptions!$F$46)^(AX5-1),0)</f>
        <v>4553.02916666667</v>
      </c>
      <c r="AY8" s="14" t="n">
        <f aca="false">IF(AY4&gt;=Assumptions!$E$46,Assumptions!$C$46*Assumptions!$D$46/12*(1+Assumptions!$F$46)^(AY5-1),0)</f>
        <v>4689.62004166667</v>
      </c>
      <c r="AZ8" s="14" t="n">
        <f aca="false">IF(AZ4&gt;=Assumptions!$E$46,Assumptions!$C$46*Assumptions!$D$46/12*(1+Assumptions!$F$46)^(AZ5-1),0)</f>
        <v>4689.62004166667</v>
      </c>
      <c r="BA8" s="14" t="n">
        <f aca="false">IF(BA4&gt;=Assumptions!$E$46,Assumptions!$C$46*Assumptions!$D$46/12*(1+Assumptions!$F$46)^(BA5-1),0)</f>
        <v>4689.62004166667</v>
      </c>
      <c r="BB8" s="14" t="n">
        <f aca="false">IF(BB4&gt;=Assumptions!$E$46,Assumptions!$C$46*Assumptions!$D$46/12*(1+Assumptions!$F$46)^(BB5-1),0)</f>
        <v>4689.62004166667</v>
      </c>
      <c r="BC8" s="14" t="n">
        <f aca="false">IF(BC4&gt;=Assumptions!$E$46,Assumptions!$C$46*Assumptions!$D$46/12*(1+Assumptions!$F$46)^(BC5-1),0)</f>
        <v>4689.62004166667</v>
      </c>
      <c r="BD8" s="14" t="n">
        <f aca="false">IF(BD4&gt;=Assumptions!$E$46,Assumptions!$C$46*Assumptions!$D$46/12*(1+Assumptions!$F$46)^(BD5-1),0)</f>
        <v>4689.62004166667</v>
      </c>
      <c r="BE8" s="14" t="n">
        <f aca="false">IF(BE4&gt;=Assumptions!$E$46,Assumptions!$C$46*Assumptions!$D$46/12*(1+Assumptions!$F$46)^(BE5-1),0)</f>
        <v>4689.62004166667</v>
      </c>
      <c r="BF8" s="14" t="n">
        <f aca="false">IF(BF4&gt;=Assumptions!$E$46,Assumptions!$C$46*Assumptions!$D$46/12*(1+Assumptions!$F$46)^(BF5-1),0)</f>
        <v>4689.62004166667</v>
      </c>
      <c r="BG8" s="14" t="n">
        <f aca="false">IF(BG4&gt;=Assumptions!$E$46,Assumptions!$C$46*Assumptions!$D$46/12*(1+Assumptions!$F$46)^(BG5-1),0)</f>
        <v>4689.62004166667</v>
      </c>
      <c r="BH8" s="14" t="n">
        <f aca="false">IF(BH4&gt;=Assumptions!$E$46,Assumptions!$C$46*Assumptions!$D$46/12*(1+Assumptions!$F$46)^(BH5-1),0)</f>
        <v>4689.62004166667</v>
      </c>
      <c r="BI8" s="14" t="n">
        <f aca="false">IF(BI4&gt;=Assumptions!$E$46,Assumptions!$C$46*Assumptions!$D$46/12*(1+Assumptions!$F$46)^(BI5-1),0)</f>
        <v>4689.62004166667</v>
      </c>
      <c r="BJ8" s="14" t="n">
        <f aca="false">IF(BJ4&gt;=Assumptions!$E$46,Assumptions!$C$46*Assumptions!$D$46/12*(1+Assumptions!$F$46)^(BJ5-1),0)</f>
        <v>4689.62004166667</v>
      </c>
      <c r="BK8" s="43" t="n">
        <f aca="false">SUMIF($C$5:$BJ$5,BK$5,$C8:$BJ8)</f>
        <v>50000</v>
      </c>
      <c r="BL8" s="43" t="n">
        <f aca="false">SUMIF($C$5:$BJ$5,BL$5,$C8:$BJ8)</f>
        <v>51500</v>
      </c>
      <c r="BM8" s="43" t="n">
        <f aca="false">SUMIF($C$5:$BJ$5,BM$5,$C8:$BJ8)</f>
        <v>53045</v>
      </c>
      <c r="BN8" s="43" t="n">
        <f aca="false">SUMIF($C$5:$BJ$5,BN$5,$C8:$BJ8)</f>
        <v>54636.35</v>
      </c>
      <c r="BO8" s="43" t="n">
        <f aca="false">SUMIF($C$5:$BJ$5,BO$5,$C8:$BJ8)</f>
        <v>56275.4405</v>
      </c>
    </row>
    <row r="9" customFormat="false" ht="15" hidden="false" customHeight="false" outlineLevel="0" collapsed="false">
      <c r="A9" s="18" t="str">
        <f aca="false">"Role 2: "&amp;Assumptions!$B$47</f>
        <v>Role 2: Service staff (example)</v>
      </c>
      <c r="B9" s="2"/>
      <c r="C9" s="14" t="n">
        <f aca="false">IF(C4&gt;=Assumptions!$E$47,Assumptions!$C$47*Assumptions!$D$47/12*(1+Assumptions!$F$47)^(C5-1),0)</f>
        <v>6666.66666666667</v>
      </c>
      <c r="D9" s="14" t="n">
        <f aca="false">IF(D4&gt;=Assumptions!$E$47,Assumptions!$C$47*Assumptions!$D$47/12*(1+Assumptions!$F$47)^(D5-1),0)</f>
        <v>6666.66666666667</v>
      </c>
      <c r="E9" s="14" t="n">
        <f aca="false">IF(E4&gt;=Assumptions!$E$47,Assumptions!$C$47*Assumptions!$D$47/12*(1+Assumptions!$F$47)^(E5-1),0)</f>
        <v>6666.66666666667</v>
      </c>
      <c r="F9" s="14" t="n">
        <f aca="false">IF(F4&gt;=Assumptions!$E$47,Assumptions!$C$47*Assumptions!$D$47/12*(1+Assumptions!$F$47)^(F5-1),0)</f>
        <v>6666.66666666667</v>
      </c>
      <c r="G9" s="14" t="n">
        <f aca="false">IF(G4&gt;=Assumptions!$E$47,Assumptions!$C$47*Assumptions!$D$47/12*(1+Assumptions!$F$47)^(G5-1),0)</f>
        <v>6666.66666666667</v>
      </c>
      <c r="H9" s="14" t="n">
        <f aca="false">IF(H4&gt;=Assumptions!$E$47,Assumptions!$C$47*Assumptions!$D$47/12*(1+Assumptions!$F$47)^(H5-1),0)</f>
        <v>6666.66666666667</v>
      </c>
      <c r="I9" s="14" t="n">
        <f aca="false">IF(I4&gt;=Assumptions!$E$47,Assumptions!$C$47*Assumptions!$D$47/12*(1+Assumptions!$F$47)^(I5-1),0)</f>
        <v>6666.66666666667</v>
      </c>
      <c r="J9" s="14" t="n">
        <f aca="false">IF(J4&gt;=Assumptions!$E$47,Assumptions!$C$47*Assumptions!$D$47/12*(1+Assumptions!$F$47)^(J5-1),0)</f>
        <v>6666.66666666667</v>
      </c>
      <c r="K9" s="14" t="n">
        <f aca="false">IF(K4&gt;=Assumptions!$E$47,Assumptions!$C$47*Assumptions!$D$47/12*(1+Assumptions!$F$47)^(K5-1),0)</f>
        <v>6666.66666666667</v>
      </c>
      <c r="L9" s="14" t="n">
        <f aca="false">IF(L4&gt;=Assumptions!$E$47,Assumptions!$C$47*Assumptions!$D$47/12*(1+Assumptions!$F$47)^(L5-1),0)</f>
        <v>6666.66666666667</v>
      </c>
      <c r="M9" s="14" t="n">
        <f aca="false">IF(M4&gt;=Assumptions!$E$47,Assumptions!$C$47*Assumptions!$D$47/12*(1+Assumptions!$F$47)^(M5-1),0)</f>
        <v>6666.66666666667</v>
      </c>
      <c r="N9" s="14" t="n">
        <f aca="false">IF(N4&gt;=Assumptions!$E$47,Assumptions!$C$47*Assumptions!$D$47/12*(1+Assumptions!$F$47)^(N5-1),0)</f>
        <v>6666.66666666667</v>
      </c>
      <c r="O9" s="14" t="n">
        <f aca="false">IF(O4&gt;=Assumptions!$E$47,Assumptions!$C$47*Assumptions!$D$47/12*(1+Assumptions!$F$47)^(O5-1),0)</f>
        <v>6866.66666666667</v>
      </c>
      <c r="P9" s="14" t="n">
        <f aca="false">IF(P4&gt;=Assumptions!$E$47,Assumptions!$C$47*Assumptions!$D$47/12*(1+Assumptions!$F$47)^(P5-1),0)</f>
        <v>6866.66666666667</v>
      </c>
      <c r="Q9" s="14" t="n">
        <f aca="false">IF(Q4&gt;=Assumptions!$E$47,Assumptions!$C$47*Assumptions!$D$47/12*(1+Assumptions!$F$47)^(Q5-1),0)</f>
        <v>6866.66666666667</v>
      </c>
      <c r="R9" s="14" t="n">
        <f aca="false">IF(R4&gt;=Assumptions!$E$47,Assumptions!$C$47*Assumptions!$D$47/12*(1+Assumptions!$F$47)^(R5-1),0)</f>
        <v>6866.66666666667</v>
      </c>
      <c r="S9" s="14" t="n">
        <f aca="false">IF(S4&gt;=Assumptions!$E$47,Assumptions!$C$47*Assumptions!$D$47/12*(1+Assumptions!$F$47)^(S5-1),0)</f>
        <v>6866.66666666667</v>
      </c>
      <c r="T9" s="14" t="n">
        <f aca="false">IF(T4&gt;=Assumptions!$E$47,Assumptions!$C$47*Assumptions!$D$47/12*(1+Assumptions!$F$47)^(T5-1),0)</f>
        <v>6866.66666666667</v>
      </c>
      <c r="U9" s="14" t="n">
        <f aca="false">IF(U4&gt;=Assumptions!$E$47,Assumptions!$C$47*Assumptions!$D$47/12*(1+Assumptions!$F$47)^(U5-1),0)</f>
        <v>6866.66666666667</v>
      </c>
      <c r="V9" s="14" t="n">
        <f aca="false">IF(V4&gt;=Assumptions!$E$47,Assumptions!$C$47*Assumptions!$D$47/12*(1+Assumptions!$F$47)^(V5-1),0)</f>
        <v>6866.66666666667</v>
      </c>
      <c r="W9" s="14" t="n">
        <f aca="false">IF(W4&gt;=Assumptions!$E$47,Assumptions!$C$47*Assumptions!$D$47/12*(1+Assumptions!$F$47)^(W5-1),0)</f>
        <v>6866.66666666667</v>
      </c>
      <c r="X9" s="14" t="n">
        <f aca="false">IF(X4&gt;=Assumptions!$E$47,Assumptions!$C$47*Assumptions!$D$47/12*(1+Assumptions!$F$47)^(X5-1),0)</f>
        <v>6866.66666666667</v>
      </c>
      <c r="Y9" s="14" t="n">
        <f aca="false">IF(Y4&gt;=Assumptions!$E$47,Assumptions!$C$47*Assumptions!$D$47/12*(1+Assumptions!$F$47)^(Y5-1),0)</f>
        <v>6866.66666666667</v>
      </c>
      <c r="Z9" s="14" t="n">
        <f aca="false">IF(Z4&gt;=Assumptions!$E$47,Assumptions!$C$47*Assumptions!$D$47/12*(1+Assumptions!$F$47)^(Z5-1),0)</f>
        <v>6866.66666666667</v>
      </c>
      <c r="AA9" s="14" t="n">
        <f aca="false">IF(AA4&gt;=Assumptions!$E$47,Assumptions!$C$47*Assumptions!$D$47/12*(1+Assumptions!$F$47)^(AA5-1),0)</f>
        <v>7072.66666666667</v>
      </c>
      <c r="AB9" s="14" t="n">
        <f aca="false">IF(AB4&gt;=Assumptions!$E$47,Assumptions!$C$47*Assumptions!$D$47/12*(1+Assumptions!$F$47)^(AB5-1),0)</f>
        <v>7072.66666666667</v>
      </c>
      <c r="AC9" s="14" t="n">
        <f aca="false">IF(AC4&gt;=Assumptions!$E$47,Assumptions!$C$47*Assumptions!$D$47/12*(1+Assumptions!$F$47)^(AC5-1),0)</f>
        <v>7072.66666666667</v>
      </c>
      <c r="AD9" s="14" t="n">
        <f aca="false">IF(AD4&gt;=Assumptions!$E$47,Assumptions!$C$47*Assumptions!$D$47/12*(1+Assumptions!$F$47)^(AD5-1),0)</f>
        <v>7072.66666666667</v>
      </c>
      <c r="AE9" s="14" t="n">
        <f aca="false">IF(AE4&gt;=Assumptions!$E$47,Assumptions!$C$47*Assumptions!$D$47/12*(1+Assumptions!$F$47)^(AE5-1),0)</f>
        <v>7072.66666666667</v>
      </c>
      <c r="AF9" s="14" t="n">
        <f aca="false">IF(AF4&gt;=Assumptions!$E$47,Assumptions!$C$47*Assumptions!$D$47/12*(1+Assumptions!$F$47)^(AF5-1),0)</f>
        <v>7072.66666666667</v>
      </c>
      <c r="AG9" s="14" t="n">
        <f aca="false">IF(AG4&gt;=Assumptions!$E$47,Assumptions!$C$47*Assumptions!$D$47/12*(1+Assumptions!$F$47)^(AG5-1),0)</f>
        <v>7072.66666666667</v>
      </c>
      <c r="AH9" s="14" t="n">
        <f aca="false">IF(AH4&gt;=Assumptions!$E$47,Assumptions!$C$47*Assumptions!$D$47/12*(1+Assumptions!$F$47)^(AH5-1),0)</f>
        <v>7072.66666666667</v>
      </c>
      <c r="AI9" s="14" t="n">
        <f aca="false">IF(AI4&gt;=Assumptions!$E$47,Assumptions!$C$47*Assumptions!$D$47/12*(1+Assumptions!$F$47)^(AI5-1),0)</f>
        <v>7072.66666666667</v>
      </c>
      <c r="AJ9" s="14" t="n">
        <f aca="false">IF(AJ4&gt;=Assumptions!$E$47,Assumptions!$C$47*Assumptions!$D$47/12*(1+Assumptions!$F$47)^(AJ5-1),0)</f>
        <v>7072.66666666667</v>
      </c>
      <c r="AK9" s="14" t="n">
        <f aca="false">IF(AK4&gt;=Assumptions!$E$47,Assumptions!$C$47*Assumptions!$D$47/12*(1+Assumptions!$F$47)^(AK5-1),0)</f>
        <v>7072.66666666667</v>
      </c>
      <c r="AL9" s="14" t="n">
        <f aca="false">IF(AL4&gt;=Assumptions!$E$47,Assumptions!$C$47*Assumptions!$D$47/12*(1+Assumptions!$F$47)^(AL5-1),0)</f>
        <v>7072.66666666667</v>
      </c>
      <c r="AM9" s="14" t="n">
        <f aca="false">IF(AM4&gt;=Assumptions!$E$47,Assumptions!$C$47*Assumptions!$D$47/12*(1+Assumptions!$F$47)^(AM5-1),0)</f>
        <v>7284.84666666667</v>
      </c>
      <c r="AN9" s="14" t="n">
        <f aca="false">IF(AN4&gt;=Assumptions!$E$47,Assumptions!$C$47*Assumptions!$D$47/12*(1+Assumptions!$F$47)^(AN5-1),0)</f>
        <v>7284.84666666667</v>
      </c>
      <c r="AO9" s="14" t="n">
        <f aca="false">IF(AO4&gt;=Assumptions!$E$47,Assumptions!$C$47*Assumptions!$D$47/12*(1+Assumptions!$F$47)^(AO5-1),0)</f>
        <v>7284.84666666667</v>
      </c>
      <c r="AP9" s="14" t="n">
        <f aca="false">IF(AP4&gt;=Assumptions!$E$47,Assumptions!$C$47*Assumptions!$D$47/12*(1+Assumptions!$F$47)^(AP5-1),0)</f>
        <v>7284.84666666667</v>
      </c>
      <c r="AQ9" s="14" t="n">
        <f aca="false">IF(AQ4&gt;=Assumptions!$E$47,Assumptions!$C$47*Assumptions!$D$47/12*(1+Assumptions!$F$47)^(AQ5-1),0)</f>
        <v>7284.84666666667</v>
      </c>
      <c r="AR9" s="14" t="n">
        <f aca="false">IF(AR4&gt;=Assumptions!$E$47,Assumptions!$C$47*Assumptions!$D$47/12*(1+Assumptions!$F$47)^(AR5-1),0)</f>
        <v>7284.84666666667</v>
      </c>
      <c r="AS9" s="14" t="n">
        <f aca="false">IF(AS4&gt;=Assumptions!$E$47,Assumptions!$C$47*Assumptions!$D$47/12*(1+Assumptions!$F$47)^(AS5-1),0)</f>
        <v>7284.84666666667</v>
      </c>
      <c r="AT9" s="14" t="n">
        <f aca="false">IF(AT4&gt;=Assumptions!$E$47,Assumptions!$C$47*Assumptions!$D$47/12*(1+Assumptions!$F$47)^(AT5-1),0)</f>
        <v>7284.84666666667</v>
      </c>
      <c r="AU9" s="14" t="n">
        <f aca="false">IF(AU4&gt;=Assumptions!$E$47,Assumptions!$C$47*Assumptions!$D$47/12*(1+Assumptions!$F$47)^(AU5-1),0)</f>
        <v>7284.84666666667</v>
      </c>
      <c r="AV9" s="14" t="n">
        <f aca="false">IF(AV4&gt;=Assumptions!$E$47,Assumptions!$C$47*Assumptions!$D$47/12*(1+Assumptions!$F$47)^(AV5-1),0)</f>
        <v>7284.84666666667</v>
      </c>
      <c r="AW9" s="14" t="n">
        <f aca="false">IF(AW4&gt;=Assumptions!$E$47,Assumptions!$C$47*Assumptions!$D$47/12*(1+Assumptions!$F$47)^(AW5-1),0)</f>
        <v>7284.84666666667</v>
      </c>
      <c r="AX9" s="14" t="n">
        <f aca="false">IF(AX4&gt;=Assumptions!$E$47,Assumptions!$C$47*Assumptions!$D$47/12*(1+Assumptions!$F$47)^(AX5-1),0)</f>
        <v>7284.84666666667</v>
      </c>
      <c r="AY9" s="14" t="n">
        <f aca="false">IF(AY4&gt;=Assumptions!$E$47,Assumptions!$C$47*Assumptions!$D$47/12*(1+Assumptions!$F$47)^(AY5-1),0)</f>
        <v>7503.39206666667</v>
      </c>
      <c r="AZ9" s="14" t="n">
        <f aca="false">IF(AZ4&gt;=Assumptions!$E$47,Assumptions!$C$47*Assumptions!$D$47/12*(1+Assumptions!$F$47)^(AZ5-1),0)</f>
        <v>7503.39206666667</v>
      </c>
      <c r="BA9" s="14" t="n">
        <f aca="false">IF(BA4&gt;=Assumptions!$E$47,Assumptions!$C$47*Assumptions!$D$47/12*(1+Assumptions!$F$47)^(BA5-1),0)</f>
        <v>7503.39206666667</v>
      </c>
      <c r="BB9" s="14" t="n">
        <f aca="false">IF(BB4&gt;=Assumptions!$E$47,Assumptions!$C$47*Assumptions!$D$47/12*(1+Assumptions!$F$47)^(BB5-1),0)</f>
        <v>7503.39206666667</v>
      </c>
      <c r="BC9" s="14" t="n">
        <f aca="false">IF(BC4&gt;=Assumptions!$E$47,Assumptions!$C$47*Assumptions!$D$47/12*(1+Assumptions!$F$47)^(BC5-1),0)</f>
        <v>7503.39206666667</v>
      </c>
      <c r="BD9" s="14" t="n">
        <f aca="false">IF(BD4&gt;=Assumptions!$E$47,Assumptions!$C$47*Assumptions!$D$47/12*(1+Assumptions!$F$47)^(BD5-1),0)</f>
        <v>7503.39206666667</v>
      </c>
      <c r="BE9" s="14" t="n">
        <f aca="false">IF(BE4&gt;=Assumptions!$E$47,Assumptions!$C$47*Assumptions!$D$47/12*(1+Assumptions!$F$47)^(BE5-1),0)</f>
        <v>7503.39206666667</v>
      </c>
      <c r="BF9" s="14" t="n">
        <f aca="false">IF(BF4&gt;=Assumptions!$E$47,Assumptions!$C$47*Assumptions!$D$47/12*(1+Assumptions!$F$47)^(BF5-1),0)</f>
        <v>7503.39206666667</v>
      </c>
      <c r="BG9" s="14" t="n">
        <f aca="false">IF(BG4&gt;=Assumptions!$E$47,Assumptions!$C$47*Assumptions!$D$47/12*(1+Assumptions!$F$47)^(BG5-1),0)</f>
        <v>7503.39206666667</v>
      </c>
      <c r="BH9" s="14" t="n">
        <f aca="false">IF(BH4&gt;=Assumptions!$E$47,Assumptions!$C$47*Assumptions!$D$47/12*(1+Assumptions!$F$47)^(BH5-1),0)</f>
        <v>7503.39206666667</v>
      </c>
      <c r="BI9" s="14" t="n">
        <f aca="false">IF(BI4&gt;=Assumptions!$E$47,Assumptions!$C$47*Assumptions!$D$47/12*(1+Assumptions!$F$47)^(BI5-1),0)</f>
        <v>7503.39206666667</v>
      </c>
      <c r="BJ9" s="14" t="n">
        <f aca="false">IF(BJ4&gt;=Assumptions!$E$47,Assumptions!$C$47*Assumptions!$D$47/12*(1+Assumptions!$F$47)^(BJ5-1),0)</f>
        <v>7503.39206666667</v>
      </c>
      <c r="BK9" s="43" t="n">
        <f aca="false">SUMIF($C$5:$BJ$5,BK$5,$C9:$BJ9)</f>
        <v>80000</v>
      </c>
      <c r="BL9" s="43" t="n">
        <f aca="false">SUMIF($C$5:$BJ$5,BL$5,$C9:$BJ9)</f>
        <v>82400</v>
      </c>
      <c r="BM9" s="43" t="n">
        <f aca="false">SUMIF($C$5:$BJ$5,BM$5,$C9:$BJ9)</f>
        <v>84872</v>
      </c>
      <c r="BN9" s="43" t="n">
        <f aca="false">SUMIF($C$5:$BJ$5,BN$5,$C9:$BJ9)</f>
        <v>87418.16</v>
      </c>
      <c r="BO9" s="43" t="n">
        <f aca="false">SUMIF($C$5:$BJ$5,BO$5,$C9:$BJ9)</f>
        <v>90040.7048</v>
      </c>
    </row>
    <row r="10" customFormat="false" ht="15" hidden="false" customHeight="false" outlineLevel="0" collapsed="false">
      <c r="A10" s="18" t="str">
        <f aca="false">"Role 3: "&amp;Assumptions!$B$48</f>
        <v>Role 3: Office and sales assistant (example)</v>
      </c>
      <c r="B10" s="2"/>
      <c r="C10" s="14" t="n">
        <f aca="false">IF(C4&gt;=Assumptions!$E$48,Assumptions!$C$48*Assumptions!$D$48/12*(1+Assumptions!$F$48)^(C5-1),0)</f>
        <v>0</v>
      </c>
      <c r="D10" s="14" t="n">
        <f aca="false">IF(D4&gt;=Assumptions!$E$48,Assumptions!$C$48*Assumptions!$D$48/12*(1+Assumptions!$F$48)^(D5-1),0)</f>
        <v>0</v>
      </c>
      <c r="E10" s="14" t="n">
        <f aca="false">IF(E4&gt;=Assumptions!$E$48,Assumptions!$C$48*Assumptions!$D$48/12*(1+Assumptions!$F$48)^(E5-1),0)</f>
        <v>0</v>
      </c>
      <c r="F10" s="14" t="n">
        <f aca="false">IF(F4&gt;=Assumptions!$E$48,Assumptions!$C$48*Assumptions!$D$48/12*(1+Assumptions!$F$48)^(F5-1),0)</f>
        <v>0</v>
      </c>
      <c r="G10" s="14" t="n">
        <f aca="false">IF(G4&gt;=Assumptions!$E$48,Assumptions!$C$48*Assumptions!$D$48/12*(1+Assumptions!$F$48)^(G5-1),0)</f>
        <v>0</v>
      </c>
      <c r="H10" s="14" t="n">
        <f aca="false">IF(H4&gt;=Assumptions!$E$48,Assumptions!$C$48*Assumptions!$D$48/12*(1+Assumptions!$F$48)^(H5-1),0)</f>
        <v>0</v>
      </c>
      <c r="I10" s="14" t="n">
        <f aca="false">IF(I4&gt;=Assumptions!$E$48,Assumptions!$C$48*Assumptions!$D$48/12*(1+Assumptions!$F$48)^(I5-1),0)</f>
        <v>2833.33333333333</v>
      </c>
      <c r="J10" s="14" t="n">
        <f aca="false">IF(J4&gt;=Assumptions!$E$48,Assumptions!$C$48*Assumptions!$D$48/12*(1+Assumptions!$F$48)^(J5-1),0)</f>
        <v>2833.33333333333</v>
      </c>
      <c r="K10" s="14" t="n">
        <f aca="false">IF(K4&gt;=Assumptions!$E$48,Assumptions!$C$48*Assumptions!$D$48/12*(1+Assumptions!$F$48)^(K5-1),0)</f>
        <v>2833.33333333333</v>
      </c>
      <c r="L10" s="14" t="n">
        <f aca="false">IF(L4&gt;=Assumptions!$E$48,Assumptions!$C$48*Assumptions!$D$48/12*(1+Assumptions!$F$48)^(L5-1),0)</f>
        <v>2833.33333333333</v>
      </c>
      <c r="M10" s="14" t="n">
        <f aca="false">IF(M4&gt;=Assumptions!$E$48,Assumptions!$C$48*Assumptions!$D$48/12*(1+Assumptions!$F$48)^(M5-1),0)</f>
        <v>2833.33333333333</v>
      </c>
      <c r="N10" s="14" t="n">
        <f aca="false">IF(N4&gt;=Assumptions!$E$48,Assumptions!$C$48*Assumptions!$D$48/12*(1+Assumptions!$F$48)^(N5-1),0)</f>
        <v>2833.33333333333</v>
      </c>
      <c r="O10" s="14" t="n">
        <f aca="false">IF(O4&gt;=Assumptions!$E$48,Assumptions!$C$48*Assumptions!$D$48/12*(1+Assumptions!$F$48)^(O5-1),0)</f>
        <v>2918.33333333333</v>
      </c>
      <c r="P10" s="14" t="n">
        <f aca="false">IF(P4&gt;=Assumptions!$E$48,Assumptions!$C$48*Assumptions!$D$48/12*(1+Assumptions!$F$48)^(P5-1),0)</f>
        <v>2918.33333333333</v>
      </c>
      <c r="Q10" s="14" t="n">
        <f aca="false">IF(Q4&gt;=Assumptions!$E$48,Assumptions!$C$48*Assumptions!$D$48/12*(1+Assumptions!$F$48)^(Q5-1),0)</f>
        <v>2918.33333333333</v>
      </c>
      <c r="R10" s="14" t="n">
        <f aca="false">IF(R4&gt;=Assumptions!$E$48,Assumptions!$C$48*Assumptions!$D$48/12*(1+Assumptions!$F$48)^(R5-1),0)</f>
        <v>2918.33333333333</v>
      </c>
      <c r="S10" s="14" t="n">
        <f aca="false">IF(S4&gt;=Assumptions!$E$48,Assumptions!$C$48*Assumptions!$D$48/12*(1+Assumptions!$F$48)^(S5-1),0)</f>
        <v>2918.33333333333</v>
      </c>
      <c r="T10" s="14" t="n">
        <f aca="false">IF(T4&gt;=Assumptions!$E$48,Assumptions!$C$48*Assumptions!$D$48/12*(1+Assumptions!$F$48)^(T5-1),0)</f>
        <v>2918.33333333333</v>
      </c>
      <c r="U10" s="14" t="n">
        <f aca="false">IF(U4&gt;=Assumptions!$E$48,Assumptions!$C$48*Assumptions!$D$48/12*(1+Assumptions!$F$48)^(U5-1),0)</f>
        <v>2918.33333333333</v>
      </c>
      <c r="V10" s="14" t="n">
        <f aca="false">IF(V4&gt;=Assumptions!$E$48,Assumptions!$C$48*Assumptions!$D$48/12*(1+Assumptions!$F$48)^(V5-1),0)</f>
        <v>2918.33333333333</v>
      </c>
      <c r="W10" s="14" t="n">
        <f aca="false">IF(W4&gt;=Assumptions!$E$48,Assumptions!$C$48*Assumptions!$D$48/12*(1+Assumptions!$F$48)^(W5-1),0)</f>
        <v>2918.33333333333</v>
      </c>
      <c r="X10" s="14" t="n">
        <f aca="false">IF(X4&gt;=Assumptions!$E$48,Assumptions!$C$48*Assumptions!$D$48/12*(1+Assumptions!$F$48)^(X5-1),0)</f>
        <v>2918.33333333333</v>
      </c>
      <c r="Y10" s="14" t="n">
        <f aca="false">IF(Y4&gt;=Assumptions!$E$48,Assumptions!$C$48*Assumptions!$D$48/12*(1+Assumptions!$F$48)^(Y5-1),0)</f>
        <v>2918.33333333333</v>
      </c>
      <c r="Z10" s="14" t="n">
        <f aca="false">IF(Z4&gt;=Assumptions!$E$48,Assumptions!$C$48*Assumptions!$D$48/12*(1+Assumptions!$F$48)^(Z5-1),0)</f>
        <v>2918.33333333333</v>
      </c>
      <c r="AA10" s="14" t="n">
        <f aca="false">IF(AA4&gt;=Assumptions!$E$48,Assumptions!$C$48*Assumptions!$D$48/12*(1+Assumptions!$F$48)^(AA5-1),0)</f>
        <v>3005.88333333333</v>
      </c>
      <c r="AB10" s="14" t="n">
        <f aca="false">IF(AB4&gt;=Assumptions!$E$48,Assumptions!$C$48*Assumptions!$D$48/12*(1+Assumptions!$F$48)^(AB5-1),0)</f>
        <v>3005.88333333333</v>
      </c>
      <c r="AC10" s="14" t="n">
        <f aca="false">IF(AC4&gt;=Assumptions!$E$48,Assumptions!$C$48*Assumptions!$D$48/12*(1+Assumptions!$F$48)^(AC5-1),0)</f>
        <v>3005.88333333333</v>
      </c>
      <c r="AD10" s="14" t="n">
        <f aca="false">IF(AD4&gt;=Assumptions!$E$48,Assumptions!$C$48*Assumptions!$D$48/12*(1+Assumptions!$F$48)^(AD5-1),0)</f>
        <v>3005.88333333333</v>
      </c>
      <c r="AE10" s="14" t="n">
        <f aca="false">IF(AE4&gt;=Assumptions!$E$48,Assumptions!$C$48*Assumptions!$D$48/12*(1+Assumptions!$F$48)^(AE5-1),0)</f>
        <v>3005.88333333333</v>
      </c>
      <c r="AF10" s="14" t="n">
        <f aca="false">IF(AF4&gt;=Assumptions!$E$48,Assumptions!$C$48*Assumptions!$D$48/12*(1+Assumptions!$F$48)^(AF5-1),0)</f>
        <v>3005.88333333333</v>
      </c>
      <c r="AG10" s="14" t="n">
        <f aca="false">IF(AG4&gt;=Assumptions!$E$48,Assumptions!$C$48*Assumptions!$D$48/12*(1+Assumptions!$F$48)^(AG5-1),0)</f>
        <v>3005.88333333333</v>
      </c>
      <c r="AH10" s="14" t="n">
        <f aca="false">IF(AH4&gt;=Assumptions!$E$48,Assumptions!$C$48*Assumptions!$D$48/12*(1+Assumptions!$F$48)^(AH5-1),0)</f>
        <v>3005.88333333333</v>
      </c>
      <c r="AI10" s="14" t="n">
        <f aca="false">IF(AI4&gt;=Assumptions!$E$48,Assumptions!$C$48*Assumptions!$D$48/12*(1+Assumptions!$F$48)^(AI5-1),0)</f>
        <v>3005.88333333333</v>
      </c>
      <c r="AJ10" s="14" t="n">
        <f aca="false">IF(AJ4&gt;=Assumptions!$E$48,Assumptions!$C$48*Assumptions!$D$48/12*(1+Assumptions!$F$48)^(AJ5-1),0)</f>
        <v>3005.88333333333</v>
      </c>
      <c r="AK10" s="14" t="n">
        <f aca="false">IF(AK4&gt;=Assumptions!$E$48,Assumptions!$C$48*Assumptions!$D$48/12*(1+Assumptions!$F$48)^(AK5-1),0)</f>
        <v>3005.88333333333</v>
      </c>
      <c r="AL10" s="14" t="n">
        <f aca="false">IF(AL4&gt;=Assumptions!$E$48,Assumptions!$C$48*Assumptions!$D$48/12*(1+Assumptions!$F$48)^(AL5-1),0)</f>
        <v>3005.88333333333</v>
      </c>
      <c r="AM10" s="14" t="n">
        <f aca="false">IF(AM4&gt;=Assumptions!$E$48,Assumptions!$C$48*Assumptions!$D$48/12*(1+Assumptions!$F$48)^(AM5-1),0)</f>
        <v>3096.05983333333</v>
      </c>
      <c r="AN10" s="14" t="n">
        <f aca="false">IF(AN4&gt;=Assumptions!$E$48,Assumptions!$C$48*Assumptions!$D$48/12*(1+Assumptions!$F$48)^(AN5-1),0)</f>
        <v>3096.05983333333</v>
      </c>
      <c r="AO10" s="14" t="n">
        <f aca="false">IF(AO4&gt;=Assumptions!$E$48,Assumptions!$C$48*Assumptions!$D$48/12*(1+Assumptions!$F$48)^(AO5-1),0)</f>
        <v>3096.05983333333</v>
      </c>
      <c r="AP10" s="14" t="n">
        <f aca="false">IF(AP4&gt;=Assumptions!$E$48,Assumptions!$C$48*Assumptions!$D$48/12*(1+Assumptions!$F$48)^(AP5-1),0)</f>
        <v>3096.05983333333</v>
      </c>
      <c r="AQ10" s="14" t="n">
        <f aca="false">IF(AQ4&gt;=Assumptions!$E$48,Assumptions!$C$48*Assumptions!$D$48/12*(1+Assumptions!$F$48)^(AQ5-1),0)</f>
        <v>3096.05983333333</v>
      </c>
      <c r="AR10" s="14" t="n">
        <f aca="false">IF(AR4&gt;=Assumptions!$E$48,Assumptions!$C$48*Assumptions!$D$48/12*(1+Assumptions!$F$48)^(AR5-1),0)</f>
        <v>3096.05983333333</v>
      </c>
      <c r="AS10" s="14" t="n">
        <f aca="false">IF(AS4&gt;=Assumptions!$E$48,Assumptions!$C$48*Assumptions!$D$48/12*(1+Assumptions!$F$48)^(AS5-1),0)</f>
        <v>3096.05983333333</v>
      </c>
      <c r="AT10" s="14" t="n">
        <f aca="false">IF(AT4&gt;=Assumptions!$E$48,Assumptions!$C$48*Assumptions!$D$48/12*(1+Assumptions!$F$48)^(AT5-1),0)</f>
        <v>3096.05983333333</v>
      </c>
      <c r="AU10" s="14" t="n">
        <f aca="false">IF(AU4&gt;=Assumptions!$E$48,Assumptions!$C$48*Assumptions!$D$48/12*(1+Assumptions!$F$48)^(AU5-1),0)</f>
        <v>3096.05983333333</v>
      </c>
      <c r="AV10" s="14" t="n">
        <f aca="false">IF(AV4&gt;=Assumptions!$E$48,Assumptions!$C$48*Assumptions!$D$48/12*(1+Assumptions!$F$48)^(AV5-1),0)</f>
        <v>3096.05983333333</v>
      </c>
      <c r="AW10" s="14" t="n">
        <f aca="false">IF(AW4&gt;=Assumptions!$E$48,Assumptions!$C$48*Assumptions!$D$48/12*(1+Assumptions!$F$48)^(AW5-1),0)</f>
        <v>3096.05983333333</v>
      </c>
      <c r="AX10" s="14" t="n">
        <f aca="false">IF(AX4&gt;=Assumptions!$E$48,Assumptions!$C$48*Assumptions!$D$48/12*(1+Assumptions!$F$48)^(AX5-1),0)</f>
        <v>3096.05983333333</v>
      </c>
      <c r="AY10" s="14" t="n">
        <f aca="false">IF(AY4&gt;=Assumptions!$E$48,Assumptions!$C$48*Assumptions!$D$48/12*(1+Assumptions!$F$48)^(AY5-1),0)</f>
        <v>3188.94162833333</v>
      </c>
      <c r="AZ10" s="14" t="n">
        <f aca="false">IF(AZ4&gt;=Assumptions!$E$48,Assumptions!$C$48*Assumptions!$D$48/12*(1+Assumptions!$F$48)^(AZ5-1),0)</f>
        <v>3188.94162833333</v>
      </c>
      <c r="BA10" s="14" t="n">
        <f aca="false">IF(BA4&gt;=Assumptions!$E$48,Assumptions!$C$48*Assumptions!$D$48/12*(1+Assumptions!$F$48)^(BA5-1),0)</f>
        <v>3188.94162833333</v>
      </c>
      <c r="BB10" s="14" t="n">
        <f aca="false">IF(BB4&gt;=Assumptions!$E$48,Assumptions!$C$48*Assumptions!$D$48/12*(1+Assumptions!$F$48)^(BB5-1),0)</f>
        <v>3188.94162833333</v>
      </c>
      <c r="BC10" s="14" t="n">
        <f aca="false">IF(BC4&gt;=Assumptions!$E$48,Assumptions!$C$48*Assumptions!$D$48/12*(1+Assumptions!$F$48)^(BC5-1),0)</f>
        <v>3188.94162833333</v>
      </c>
      <c r="BD10" s="14" t="n">
        <f aca="false">IF(BD4&gt;=Assumptions!$E$48,Assumptions!$C$48*Assumptions!$D$48/12*(1+Assumptions!$F$48)^(BD5-1),0)</f>
        <v>3188.94162833333</v>
      </c>
      <c r="BE10" s="14" t="n">
        <f aca="false">IF(BE4&gt;=Assumptions!$E$48,Assumptions!$C$48*Assumptions!$D$48/12*(1+Assumptions!$F$48)^(BE5-1),0)</f>
        <v>3188.94162833333</v>
      </c>
      <c r="BF10" s="14" t="n">
        <f aca="false">IF(BF4&gt;=Assumptions!$E$48,Assumptions!$C$48*Assumptions!$D$48/12*(1+Assumptions!$F$48)^(BF5-1),0)</f>
        <v>3188.94162833333</v>
      </c>
      <c r="BG10" s="14" t="n">
        <f aca="false">IF(BG4&gt;=Assumptions!$E$48,Assumptions!$C$48*Assumptions!$D$48/12*(1+Assumptions!$F$48)^(BG5-1),0)</f>
        <v>3188.94162833333</v>
      </c>
      <c r="BH10" s="14" t="n">
        <f aca="false">IF(BH4&gt;=Assumptions!$E$48,Assumptions!$C$48*Assumptions!$D$48/12*(1+Assumptions!$F$48)^(BH5-1),0)</f>
        <v>3188.94162833333</v>
      </c>
      <c r="BI10" s="14" t="n">
        <f aca="false">IF(BI4&gt;=Assumptions!$E$48,Assumptions!$C$48*Assumptions!$D$48/12*(1+Assumptions!$F$48)^(BI5-1),0)</f>
        <v>3188.94162833333</v>
      </c>
      <c r="BJ10" s="14" t="n">
        <f aca="false">IF(BJ4&gt;=Assumptions!$E$48,Assumptions!$C$48*Assumptions!$D$48/12*(1+Assumptions!$F$48)^(BJ5-1),0)</f>
        <v>3188.94162833333</v>
      </c>
      <c r="BK10" s="43" t="n">
        <f aca="false">SUMIF($C$5:$BJ$5,BK$5,$C10:$BJ10)</f>
        <v>17000</v>
      </c>
      <c r="BL10" s="43" t="n">
        <f aca="false">SUMIF($C$5:$BJ$5,BL$5,$C10:$BJ10)</f>
        <v>35020</v>
      </c>
      <c r="BM10" s="43" t="n">
        <f aca="false">SUMIF($C$5:$BJ$5,BM$5,$C10:$BJ10)</f>
        <v>36070.6</v>
      </c>
      <c r="BN10" s="43" t="n">
        <f aca="false">SUMIF($C$5:$BJ$5,BN$5,$C10:$BJ10)</f>
        <v>37152.718</v>
      </c>
      <c r="BO10" s="43" t="n">
        <f aca="false">SUMIF($C$5:$BJ$5,BO$5,$C10:$BJ10)</f>
        <v>38267.29954</v>
      </c>
    </row>
    <row r="11" customFormat="false" ht="15" hidden="false" customHeight="false" outlineLevel="0" collapsed="false">
      <c r="A11" s="18" t="str">
        <f aca="false">"Role 4: "&amp;Assumptions!$B$49</f>
        <v>Role 4: Additional service staff (example)</v>
      </c>
      <c r="B11" s="2"/>
      <c r="C11" s="14" t="n">
        <f aca="false">IF(C4&gt;=Assumptions!$E$49,Assumptions!$C$49*Assumptions!$D$49/12*(1+Assumptions!$F$49)^(C5-1),0)</f>
        <v>0</v>
      </c>
      <c r="D11" s="14" t="n">
        <f aca="false">IF(D4&gt;=Assumptions!$E$49,Assumptions!$C$49*Assumptions!$D$49/12*(1+Assumptions!$F$49)^(D5-1),0)</f>
        <v>0</v>
      </c>
      <c r="E11" s="14" t="n">
        <f aca="false">IF(E4&gt;=Assumptions!$E$49,Assumptions!$C$49*Assumptions!$D$49/12*(1+Assumptions!$F$49)^(E5-1),0)</f>
        <v>0</v>
      </c>
      <c r="F11" s="14" t="n">
        <f aca="false">IF(F4&gt;=Assumptions!$E$49,Assumptions!$C$49*Assumptions!$D$49/12*(1+Assumptions!$F$49)^(F5-1),0)</f>
        <v>0</v>
      </c>
      <c r="G11" s="14" t="n">
        <f aca="false">IF(G4&gt;=Assumptions!$E$49,Assumptions!$C$49*Assumptions!$D$49/12*(1+Assumptions!$F$49)^(G5-1),0)</f>
        <v>0</v>
      </c>
      <c r="H11" s="14" t="n">
        <f aca="false">IF(H4&gt;=Assumptions!$E$49,Assumptions!$C$49*Assumptions!$D$49/12*(1+Assumptions!$F$49)^(H5-1),0)</f>
        <v>0</v>
      </c>
      <c r="I11" s="14" t="n">
        <f aca="false">IF(I4&gt;=Assumptions!$E$49,Assumptions!$C$49*Assumptions!$D$49/12*(1+Assumptions!$F$49)^(I5-1),0)</f>
        <v>0</v>
      </c>
      <c r="J11" s="14" t="n">
        <f aca="false">IF(J4&gt;=Assumptions!$E$49,Assumptions!$C$49*Assumptions!$D$49/12*(1+Assumptions!$F$49)^(J5-1),0)</f>
        <v>0</v>
      </c>
      <c r="K11" s="14" t="n">
        <f aca="false">IF(K4&gt;=Assumptions!$E$49,Assumptions!$C$49*Assumptions!$D$49/12*(1+Assumptions!$F$49)^(K5-1),0)</f>
        <v>0</v>
      </c>
      <c r="L11" s="14" t="n">
        <f aca="false">IF(L4&gt;=Assumptions!$E$49,Assumptions!$C$49*Assumptions!$D$49/12*(1+Assumptions!$F$49)^(L5-1),0)</f>
        <v>0</v>
      </c>
      <c r="M11" s="14" t="n">
        <f aca="false">IF(M4&gt;=Assumptions!$E$49,Assumptions!$C$49*Assumptions!$D$49/12*(1+Assumptions!$F$49)^(M5-1),0)</f>
        <v>0</v>
      </c>
      <c r="N11" s="14" t="n">
        <f aca="false">IF(N4&gt;=Assumptions!$E$49,Assumptions!$C$49*Assumptions!$D$49/12*(1+Assumptions!$F$49)^(N5-1),0)</f>
        <v>0</v>
      </c>
      <c r="O11" s="14" t="n">
        <f aca="false">IF(O4&gt;=Assumptions!$E$49,Assumptions!$C$49*Assumptions!$D$49/12*(1+Assumptions!$F$49)^(O5-1),0)</f>
        <v>0</v>
      </c>
      <c r="P11" s="14" t="n">
        <f aca="false">IF(P4&gt;=Assumptions!$E$49,Assumptions!$C$49*Assumptions!$D$49/12*(1+Assumptions!$F$49)^(P5-1),0)</f>
        <v>0</v>
      </c>
      <c r="Q11" s="14" t="n">
        <f aca="false">IF(Q4&gt;=Assumptions!$E$49,Assumptions!$C$49*Assumptions!$D$49/12*(1+Assumptions!$F$49)^(Q5-1),0)</f>
        <v>0</v>
      </c>
      <c r="R11" s="14" t="n">
        <f aca="false">IF(R4&gt;=Assumptions!$E$49,Assumptions!$C$49*Assumptions!$D$49/12*(1+Assumptions!$F$49)^(R5-1),0)</f>
        <v>0</v>
      </c>
      <c r="S11" s="14" t="n">
        <f aca="false">IF(S4&gt;=Assumptions!$E$49,Assumptions!$C$49*Assumptions!$D$49/12*(1+Assumptions!$F$49)^(S5-1),0)</f>
        <v>0</v>
      </c>
      <c r="T11" s="14" t="n">
        <f aca="false">IF(T4&gt;=Assumptions!$E$49,Assumptions!$C$49*Assumptions!$D$49/12*(1+Assumptions!$F$49)^(T5-1),0)</f>
        <v>0</v>
      </c>
      <c r="U11" s="14" t="n">
        <f aca="false">IF(U4&gt;=Assumptions!$E$49,Assumptions!$C$49*Assumptions!$D$49/12*(1+Assumptions!$F$49)^(U5-1),0)</f>
        <v>0</v>
      </c>
      <c r="V11" s="14" t="n">
        <f aca="false">IF(V4&gt;=Assumptions!$E$49,Assumptions!$C$49*Assumptions!$D$49/12*(1+Assumptions!$F$49)^(V5-1),0)</f>
        <v>0</v>
      </c>
      <c r="W11" s="14" t="n">
        <f aca="false">IF(W4&gt;=Assumptions!$E$49,Assumptions!$C$49*Assumptions!$D$49/12*(1+Assumptions!$F$49)^(W5-1),0)</f>
        <v>0</v>
      </c>
      <c r="X11" s="14" t="n">
        <f aca="false">IF(X4&gt;=Assumptions!$E$49,Assumptions!$C$49*Assumptions!$D$49/12*(1+Assumptions!$F$49)^(X5-1),0)</f>
        <v>0</v>
      </c>
      <c r="Y11" s="14" t="n">
        <f aca="false">IF(Y4&gt;=Assumptions!$E$49,Assumptions!$C$49*Assumptions!$D$49/12*(1+Assumptions!$F$49)^(Y5-1),0)</f>
        <v>0</v>
      </c>
      <c r="Z11" s="14" t="n">
        <f aca="false">IF(Z4&gt;=Assumptions!$E$49,Assumptions!$C$49*Assumptions!$D$49/12*(1+Assumptions!$F$49)^(Z5-1),0)</f>
        <v>0</v>
      </c>
      <c r="AA11" s="14" t="n">
        <f aca="false">IF(AA4&gt;=Assumptions!$E$49,Assumptions!$C$49*Assumptions!$D$49/12*(1+Assumptions!$F$49)^(AA5-1),0)</f>
        <v>3536.33333333333</v>
      </c>
      <c r="AB11" s="14" t="n">
        <f aca="false">IF(AB4&gt;=Assumptions!$E$49,Assumptions!$C$49*Assumptions!$D$49/12*(1+Assumptions!$F$49)^(AB5-1),0)</f>
        <v>3536.33333333333</v>
      </c>
      <c r="AC11" s="14" t="n">
        <f aca="false">IF(AC4&gt;=Assumptions!$E$49,Assumptions!$C$49*Assumptions!$D$49/12*(1+Assumptions!$F$49)^(AC5-1),0)</f>
        <v>3536.33333333333</v>
      </c>
      <c r="AD11" s="14" t="n">
        <f aca="false">IF(AD4&gt;=Assumptions!$E$49,Assumptions!$C$49*Assumptions!$D$49/12*(1+Assumptions!$F$49)^(AD5-1),0)</f>
        <v>3536.33333333333</v>
      </c>
      <c r="AE11" s="14" t="n">
        <f aca="false">IF(AE4&gt;=Assumptions!$E$49,Assumptions!$C$49*Assumptions!$D$49/12*(1+Assumptions!$F$49)^(AE5-1),0)</f>
        <v>3536.33333333333</v>
      </c>
      <c r="AF11" s="14" t="n">
        <f aca="false">IF(AF4&gt;=Assumptions!$E$49,Assumptions!$C$49*Assumptions!$D$49/12*(1+Assumptions!$F$49)^(AF5-1),0)</f>
        <v>3536.33333333333</v>
      </c>
      <c r="AG11" s="14" t="n">
        <f aca="false">IF(AG4&gt;=Assumptions!$E$49,Assumptions!$C$49*Assumptions!$D$49/12*(1+Assumptions!$F$49)^(AG5-1),0)</f>
        <v>3536.33333333333</v>
      </c>
      <c r="AH11" s="14" t="n">
        <f aca="false">IF(AH4&gt;=Assumptions!$E$49,Assumptions!$C$49*Assumptions!$D$49/12*(1+Assumptions!$F$49)^(AH5-1),0)</f>
        <v>3536.33333333333</v>
      </c>
      <c r="AI11" s="14" t="n">
        <f aca="false">IF(AI4&gt;=Assumptions!$E$49,Assumptions!$C$49*Assumptions!$D$49/12*(1+Assumptions!$F$49)^(AI5-1),0)</f>
        <v>3536.33333333333</v>
      </c>
      <c r="AJ11" s="14" t="n">
        <f aca="false">IF(AJ4&gt;=Assumptions!$E$49,Assumptions!$C$49*Assumptions!$D$49/12*(1+Assumptions!$F$49)^(AJ5-1),0)</f>
        <v>3536.33333333333</v>
      </c>
      <c r="AK11" s="14" t="n">
        <f aca="false">IF(AK4&gt;=Assumptions!$E$49,Assumptions!$C$49*Assumptions!$D$49/12*(1+Assumptions!$F$49)^(AK5-1),0)</f>
        <v>3536.33333333333</v>
      </c>
      <c r="AL11" s="14" t="n">
        <f aca="false">IF(AL4&gt;=Assumptions!$E$49,Assumptions!$C$49*Assumptions!$D$49/12*(1+Assumptions!$F$49)^(AL5-1),0)</f>
        <v>3536.33333333333</v>
      </c>
      <c r="AM11" s="14" t="n">
        <f aca="false">IF(AM4&gt;=Assumptions!$E$49,Assumptions!$C$49*Assumptions!$D$49/12*(1+Assumptions!$F$49)^(AM5-1),0)</f>
        <v>3642.42333333333</v>
      </c>
      <c r="AN11" s="14" t="n">
        <f aca="false">IF(AN4&gt;=Assumptions!$E$49,Assumptions!$C$49*Assumptions!$D$49/12*(1+Assumptions!$F$49)^(AN5-1),0)</f>
        <v>3642.42333333333</v>
      </c>
      <c r="AO11" s="14" t="n">
        <f aca="false">IF(AO4&gt;=Assumptions!$E$49,Assumptions!$C$49*Assumptions!$D$49/12*(1+Assumptions!$F$49)^(AO5-1),0)</f>
        <v>3642.42333333333</v>
      </c>
      <c r="AP11" s="14" t="n">
        <f aca="false">IF(AP4&gt;=Assumptions!$E$49,Assumptions!$C$49*Assumptions!$D$49/12*(1+Assumptions!$F$49)^(AP5-1),0)</f>
        <v>3642.42333333333</v>
      </c>
      <c r="AQ11" s="14" t="n">
        <f aca="false">IF(AQ4&gt;=Assumptions!$E$49,Assumptions!$C$49*Assumptions!$D$49/12*(1+Assumptions!$F$49)^(AQ5-1),0)</f>
        <v>3642.42333333333</v>
      </c>
      <c r="AR11" s="14" t="n">
        <f aca="false">IF(AR4&gt;=Assumptions!$E$49,Assumptions!$C$49*Assumptions!$D$49/12*(1+Assumptions!$F$49)^(AR5-1),0)</f>
        <v>3642.42333333333</v>
      </c>
      <c r="AS11" s="14" t="n">
        <f aca="false">IF(AS4&gt;=Assumptions!$E$49,Assumptions!$C$49*Assumptions!$D$49/12*(1+Assumptions!$F$49)^(AS5-1),0)</f>
        <v>3642.42333333333</v>
      </c>
      <c r="AT11" s="14" t="n">
        <f aca="false">IF(AT4&gt;=Assumptions!$E$49,Assumptions!$C$49*Assumptions!$D$49/12*(1+Assumptions!$F$49)^(AT5-1),0)</f>
        <v>3642.42333333333</v>
      </c>
      <c r="AU11" s="14" t="n">
        <f aca="false">IF(AU4&gt;=Assumptions!$E$49,Assumptions!$C$49*Assumptions!$D$49/12*(1+Assumptions!$F$49)^(AU5-1),0)</f>
        <v>3642.42333333333</v>
      </c>
      <c r="AV11" s="14" t="n">
        <f aca="false">IF(AV4&gt;=Assumptions!$E$49,Assumptions!$C$49*Assumptions!$D$49/12*(1+Assumptions!$F$49)^(AV5-1),0)</f>
        <v>3642.42333333333</v>
      </c>
      <c r="AW11" s="14" t="n">
        <f aca="false">IF(AW4&gt;=Assumptions!$E$49,Assumptions!$C$49*Assumptions!$D$49/12*(1+Assumptions!$F$49)^(AW5-1),0)</f>
        <v>3642.42333333333</v>
      </c>
      <c r="AX11" s="14" t="n">
        <f aca="false">IF(AX4&gt;=Assumptions!$E$49,Assumptions!$C$49*Assumptions!$D$49/12*(1+Assumptions!$F$49)^(AX5-1),0)</f>
        <v>3642.42333333333</v>
      </c>
      <c r="AY11" s="14" t="n">
        <f aca="false">IF(AY4&gt;=Assumptions!$E$49,Assumptions!$C$49*Assumptions!$D$49/12*(1+Assumptions!$F$49)^(AY5-1),0)</f>
        <v>3751.69603333333</v>
      </c>
      <c r="AZ11" s="14" t="n">
        <f aca="false">IF(AZ4&gt;=Assumptions!$E$49,Assumptions!$C$49*Assumptions!$D$49/12*(1+Assumptions!$F$49)^(AZ5-1),0)</f>
        <v>3751.69603333333</v>
      </c>
      <c r="BA11" s="14" t="n">
        <f aca="false">IF(BA4&gt;=Assumptions!$E$49,Assumptions!$C$49*Assumptions!$D$49/12*(1+Assumptions!$F$49)^(BA5-1),0)</f>
        <v>3751.69603333333</v>
      </c>
      <c r="BB11" s="14" t="n">
        <f aca="false">IF(BB4&gt;=Assumptions!$E$49,Assumptions!$C$49*Assumptions!$D$49/12*(1+Assumptions!$F$49)^(BB5-1),0)</f>
        <v>3751.69603333333</v>
      </c>
      <c r="BC11" s="14" t="n">
        <f aca="false">IF(BC4&gt;=Assumptions!$E$49,Assumptions!$C$49*Assumptions!$D$49/12*(1+Assumptions!$F$49)^(BC5-1),0)</f>
        <v>3751.69603333333</v>
      </c>
      <c r="BD11" s="14" t="n">
        <f aca="false">IF(BD4&gt;=Assumptions!$E$49,Assumptions!$C$49*Assumptions!$D$49/12*(1+Assumptions!$F$49)^(BD5-1),0)</f>
        <v>3751.69603333333</v>
      </c>
      <c r="BE11" s="14" t="n">
        <f aca="false">IF(BE4&gt;=Assumptions!$E$49,Assumptions!$C$49*Assumptions!$D$49/12*(1+Assumptions!$F$49)^(BE5-1),0)</f>
        <v>3751.69603333333</v>
      </c>
      <c r="BF11" s="14" t="n">
        <f aca="false">IF(BF4&gt;=Assumptions!$E$49,Assumptions!$C$49*Assumptions!$D$49/12*(1+Assumptions!$F$49)^(BF5-1),0)</f>
        <v>3751.69603333333</v>
      </c>
      <c r="BG11" s="14" t="n">
        <f aca="false">IF(BG4&gt;=Assumptions!$E$49,Assumptions!$C$49*Assumptions!$D$49/12*(1+Assumptions!$F$49)^(BG5-1),0)</f>
        <v>3751.69603333333</v>
      </c>
      <c r="BH11" s="14" t="n">
        <f aca="false">IF(BH4&gt;=Assumptions!$E$49,Assumptions!$C$49*Assumptions!$D$49/12*(1+Assumptions!$F$49)^(BH5-1),0)</f>
        <v>3751.69603333333</v>
      </c>
      <c r="BI11" s="14" t="n">
        <f aca="false">IF(BI4&gt;=Assumptions!$E$49,Assumptions!$C$49*Assumptions!$D$49/12*(1+Assumptions!$F$49)^(BI5-1),0)</f>
        <v>3751.69603333333</v>
      </c>
      <c r="BJ11" s="14" t="n">
        <f aca="false">IF(BJ4&gt;=Assumptions!$E$49,Assumptions!$C$49*Assumptions!$D$49/12*(1+Assumptions!$F$49)^(BJ5-1),0)</f>
        <v>3751.69603333333</v>
      </c>
      <c r="BK11" s="43" t="n">
        <f aca="false">SUMIF($C$5:$BJ$5,BK$5,$C11:$BJ11)</f>
        <v>0</v>
      </c>
      <c r="BL11" s="43" t="n">
        <f aca="false">SUMIF($C$5:$BJ$5,BL$5,$C11:$BJ11)</f>
        <v>0</v>
      </c>
      <c r="BM11" s="43" t="n">
        <f aca="false">SUMIF($C$5:$BJ$5,BM$5,$C11:$BJ11)</f>
        <v>42436</v>
      </c>
      <c r="BN11" s="43" t="n">
        <f aca="false">SUMIF($C$5:$BJ$5,BN$5,$C11:$BJ11)</f>
        <v>43709.08</v>
      </c>
      <c r="BO11" s="43" t="n">
        <f aca="false">SUMIF($C$5:$BJ$5,BO$5,$C11:$BJ11)</f>
        <v>45020.3524</v>
      </c>
    </row>
    <row r="12" customFormat="false" ht="15" hidden="false" customHeight="false" outlineLevel="0" collapsed="false">
      <c r="A12" s="18" t="str">
        <f aca="false">"Role 5: "&amp;Assumptions!$B$50</f>
        <v>Role 5: Role 5 (not used)</v>
      </c>
      <c r="B12" s="2"/>
      <c r="C12" s="14" t="n">
        <f aca="false">IF(C4&gt;=Assumptions!$E$50,Assumptions!$C$50*Assumptions!$D$50/12*(1+Assumptions!$F$50)^(C5-1),0)</f>
        <v>0</v>
      </c>
      <c r="D12" s="14" t="n">
        <f aca="false">IF(D4&gt;=Assumptions!$E$50,Assumptions!$C$50*Assumptions!$D$50/12*(1+Assumptions!$F$50)^(D5-1),0)</f>
        <v>0</v>
      </c>
      <c r="E12" s="14" t="n">
        <f aca="false">IF(E4&gt;=Assumptions!$E$50,Assumptions!$C$50*Assumptions!$D$50/12*(1+Assumptions!$F$50)^(E5-1),0)</f>
        <v>0</v>
      </c>
      <c r="F12" s="14" t="n">
        <f aca="false">IF(F4&gt;=Assumptions!$E$50,Assumptions!$C$50*Assumptions!$D$50/12*(1+Assumptions!$F$50)^(F5-1),0)</f>
        <v>0</v>
      </c>
      <c r="G12" s="14" t="n">
        <f aca="false">IF(G4&gt;=Assumptions!$E$50,Assumptions!$C$50*Assumptions!$D$50/12*(1+Assumptions!$F$50)^(G5-1),0)</f>
        <v>0</v>
      </c>
      <c r="H12" s="14" t="n">
        <f aca="false">IF(H4&gt;=Assumptions!$E$50,Assumptions!$C$50*Assumptions!$D$50/12*(1+Assumptions!$F$50)^(H5-1),0)</f>
        <v>0</v>
      </c>
      <c r="I12" s="14" t="n">
        <f aca="false">IF(I4&gt;=Assumptions!$E$50,Assumptions!$C$50*Assumptions!$D$50/12*(1+Assumptions!$F$50)^(I5-1),0)</f>
        <v>0</v>
      </c>
      <c r="J12" s="14" t="n">
        <f aca="false">IF(J4&gt;=Assumptions!$E$50,Assumptions!$C$50*Assumptions!$D$50/12*(1+Assumptions!$F$50)^(J5-1),0)</f>
        <v>0</v>
      </c>
      <c r="K12" s="14" t="n">
        <f aca="false">IF(K4&gt;=Assumptions!$E$50,Assumptions!$C$50*Assumptions!$D$50/12*(1+Assumptions!$F$50)^(K5-1),0)</f>
        <v>0</v>
      </c>
      <c r="L12" s="14" t="n">
        <f aca="false">IF(L4&gt;=Assumptions!$E$50,Assumptions!$C$50*Assumptions!$D$50/12*(1+Assumptions!$F$50)^(L5-1),0)</f>
        <v>0</v>
      </c>
      <c r="M12" s="14" t="n">
        <f aca="false">IF(M4&gt;=Assumptions!$E$50,Assumptions!$C$50*Assumptions!$D$50/12*(1+Assumptions!$F$50)^(M5-1),0)</f>
        <v>0</v>
      </c>
      <c r="N12" s="14" t="n">
        <f aca="false">IF(N4&gt;=Assumptions!$E$50,Assumptions!$C$50*Assumptions!$D$50/12*(1+Assumptions!$F$50)^(N5-1),0)</f>
        <v>0</v>
      </c>
      <c r="O12" s="14" t="n">
        <f aca="false">IF(O4&gt;=Assumptions!$E$50,Assumptions!$C$50*Assumptions!$D$50/12*(1+Assumptions!$F$50)^(O5-1),0)</f>
        <v>0</v>
      </c>
      <c r="P12" s="14" t="n">
        <f aca="false">IF(P4&gt;=Assumptions!$E$50,Assumptions!$C$50*Assumptions!$D$50/12*(1+Assumptions!$F$50)^(P5-1),0)</f>
        <v>0</v>
      </c>
      <c r="Q12" s="14" t="n">
        <f aca="false">IF(Q4&gt;=Assumptions!$E$50,Assumptions!$C$50*Assumptions!$D$50/12*(1+Assumptions!$F$50)^(Q5-1),0)</f>
        <v>0</v>
      </c>
      <c r="R12" s="14" t="n">
        <f aca="false">IF(R4&gt;=Assumptions!$E$50,Assumptions!$C$50*Assumptions!$D$50/12*(1+Assumptions!$F$50)^(R5-1),0)</f>
        <v>0</v>
      </c>
      <c r="S12" s="14" t="n">
        <f aca="false">IF(S4&gt;=Assumptions!$E$50,Assumptions!$C$50*Assumptions!$D$50/12*(1+Assumptions!$F$50)^(S5-1),0)</f>
        <v>0</v>
      </c>
      <c r="T12" s="14" t="n">
        <f aca="false">IF(T4&gt;=Assumptions!$E$50,Assumptions!$C$50*Assumptions!$D$50/12*(1+Assumptions!$F$50)^(T5-1),0)</f>
        <v>0</v>
      </c>
      <c r="U12" s="14" t="n">
        <f aca="false">IF(U4&gt;=Assumptions!$E$50,Assumptions!$C$50*Assumptions!$D$50/12*(1+Assumptions!$F$50)^(U5-1),0)</f>
        <v>0</v>
      </c>
      <c r="V12" s="14" t="n">
        <f aca="false">IF(V4&gt;=Assumptions!$E$50,Assumptions!$C$50*Assumptions!$D$50/12*(1+Assumptions!$F$50)^(V5-1),0)</f>
        <v>0</v>
      </c>
      <c r="W12" s="14" t="n">
        <f aca="false">IF(W4&gt;=Assumptions!$E$50,Assumptions!$C$50*Assumptions!$D$50/12*(1+Assumptions!$F$50)^(W5-1),0)</f>
        <v>0</v>
      </c>
      <c r="X12" s="14" t="n">
        <f aca="false">IF(X4&gt;=Assumptions!$E$50,Assumptions!$C$50*Assumptions!$D$50/12*(1+Assumptions!$F$50)^(X5-1),0)</f>
        <v>0</v>
      </c>
      <c r="Y12" s="14" t="n">
        <f aca="false">IF(Y4&gt;=Assumptions!$E$50,Assumptions!$C$50*Assumptions!$D$50/12*(1+Assumptions!$F$50)^(Y5-1),0)</f>
        <v>0</v>
      </c>
      <c r="Z12" s="14" t="n">
        <f aca="false">IF(Z4&gt;=Assumptions!$E$50,Assumptions!$C$50*Assumptions!$D$50/12*(1+Assumptions!$F$50)^(Z5-1),0)</f>
        <v>0</v>
      </c>
      <c r="AA12" s="14" t="n">
        <f aca="false">IF(AA4&gt;=Assumptions!$E$50,Assumptions!$C$50*Assumptions!$D$50/12*(1+Assumptions!$F$50)^(AA5-1),0)</f>
        <v>0</v>
      </c>
      <c r="AB12" s="14" t="n">
        <f aca="false">IF(AB4&gt;=Assumptions!$E$50,Assumptions!$C$50*Assumptions!$D$50/12*(1+Assumptions!$F$50)^(AB5-1),0)</f>
        <v>0</v>
      </c>
      <c r="AC12" s="14" t="n">
        <f aca="false">IF(AC4&gt;=Assumptions!$E$50,Assumptions!$C$50*Assumptions!$D$50/12*(1+Assumptions!$F$50)^(AC5-1),0)</f>
        <v>0</v>
      </c>
      <c r="AD12" s="14" t="n">
        <f aca="false">IF(AD4&gt;=Assumptions!$E$50,Assumptions!$C$50*Assumptions!$D$50/12*(1+Assumptions!$F$50)^(AD5-1),0)</f>
        <v>0</v>
      </c>
      <c r="AE12" s="14" t="n">
        <f aca="false">IF(AE4&gt;=Assumptions!$E$50,Assumptions!$C$50*Assumptions!$D$50/12*(1+Assumptions!$F$50)^(AE5-1),0)</f>
        <v>0</v>
      </c>
      <c r="AF12" s="14" t="n">
        <f aca="false">IF(AF4&gt;=Assumptions!$E$50,Assumptions!$C$50*Assumptions!$D$50/12*(1+Assumptions!$F$50)^(AF5-1),0)</f>
        <v>0</v>
      </c>
      <c r="AG12" s="14" t="n">
        <f aca="false">IF(AG4&gt;=Assumptions!$E$50,Assumptions!$C$50*Assumptions!$D$50/12*(1+Assumptions!$F$50)^(AG5-1),0)</f>
        <v>0</v>
      </c>
      <c r="AH12" s="14" t="n">
        <f aca="false">IF(AH4&gt;=Assumptions!$E$50,Assumptions!$C$50*Assumptions!$D$50/12*(1+Assumptions!$F$50)^(AH5-1),0)</f>
        <v>0</v>
      </c>
      <c r="AI12" s="14" t="n">
        <f aca="false">IF(AI4&gt;=Assumptions!$E$50,Assumptions!$C$50*Assumptions!$D$50/12*(1+Assumptions!$F$50)^(AI5-1),0)</f>
        <v>0</v>
      </c>
      <c r="AJ12" s="14" t="n">
        <f aca="false">IF(AJ4&gt;=Assumptions!$E$50,Assumptions!$C$50*Assumptions!$D$50/12*(1+Assumptions!$F$50)^(AJ5-1),0)</f>
        <v>0</v>
      </c>
      <c r="AK12" s="14" t="n">
        <f aca="false">IF(AK4&gt;=Assumptions!$E$50,Assumptions!$C$50*Assumptions!$D$50/12*(1+Assumptions!$F$50)^(AK5-1),0)</f>
        <v>0</v>
      </c>
      <c r="AL12" s="14" t="n">
        <f aca="false">IF(AL4&gt;=Assumptions!$E$50,Assumptions!$C$50*Assumptions!$D$50/12*(1+Assumptions!$F$50)^(AL5-1),0)</f>
        <v>0</v>
      </c>
      <c r="AM12" s="14" t="n">
        <f aca="false">IF(AM4&gt;=Assumptions!$E$50,Assumptions!$C$50*Assumptions!$D$50/12*(1+Assumptions!$F$50)^(AM5-1),0)</f>
        <v>0</v>
      </c>
      <c r="AN12" s="14" t="n">
        <f aca="false">IF(AN4&gt;=Assumptions!$E$50,Assumptions!$C$50*Assumptions!$D$50/12*(1+Assumptions!$F$50)^(AN5-1),0)</f>
        <v>0</v>
      </c>
      <c r="AO12" s="14" t="n">
        <f aca="false">IF(AO4&gt;=Assumptions!$E$50,Assumptions!$C$50*Assumptions!$D$50/12*(1+Assumptions!$F$50)^(AO5-1),0)</f>
        <v>0</v>
      </c>
      <c r="AP12" s="14" t="n">
        <f aca="false">IF(AP4&gt;=Assumptions!$E$50,Assumptions!$C$50*Assumptions!$D$50/12*(1+Assumptions!$F$50)^(AP5-1),0)</f>
        <v>0</v>
      </c>
      <c r="AQ12" s="14" t="n">
        <f aca="false">IF(AQ4&gt;=Assumptions!$E$50,Assumptions!$C$50*Assumptions!$D$50/12*(1+Assumptions!$F$50)^(AQ5-1),0)</f>
        <v>0</v>
      </c>
      <c r="AR12" s="14" t="n">
        <f aca="false">IF(AR4&gt;=Assumptions!$E$50,Assumptions!$C$50*Assumptions!$D$50/12*(1+Assumptions!$F$50)^(AR5-1),0)</f>
        <v>0</v>
      </c>
      <c r="AS12" s="14" t="n">
        <f aca="false">IF(AS4&gt;=Assumptions!$E$50,Assumptions!$C$50*Assumptions!$D$50/12*(1+Assumptions!$F$50)^(AS5-1),0)</f>
        <v>0</v>
      </c>
      <c r="AT12" s="14" t="n">
        <f aca="false">IF(AT4&gt;=Assumptions!$E$50,Assumptions!$C$50*Assumptions!$D$50/12*(1+Assumptions!$F$50)^(AT5-1),0)</f>
        <v>0</v>
      </c>
      <c r="AU12" s="14" t="n">
        <f aca="false">IF(AU4&gt;=Assumptions!$E$50,Assumptions!$C$50*Assumptions!$D$50/12*(1+Assumptions!$F$50)^(AU5-1),0)</f>
        <v>0</v>
      </c>
      <c r="AV12" s="14" t="n">
        <f aca="false">IF(AV4&gt;=Assumptions!$E$50,Assumptions!$C$50*Assumptions!$D$50/12*(1+Assumptions!$F$50)^(AV5-1),0)</f>
        <v>0</v>
      </c>
      <c r="AW12" s="14" t="n">
        <f aca="false">IF(AW4&gt;=Assumptions!$E$50,Assumptions!$C$50*Assumptions!$D$50/12*(1+Assumptions!$F$50)^(AW5-1),0)</f>
        <v>0</v>
      </c>
      <c r="AX12" s="14" t="n">
        <f aca="false">IF(AX4&gt;=Assumptions!$E$50,Assumptions!$C$50*Assumptions!$D$50/12*(1+Assumptions!$F$50)^(AX5-1),0)</f>
        <v>0</v>
      </c>
      <c r="AY12" s="14" t="n">
        <f aca="false">IF(AY4&gt;=Assumptions!$E$50,Assumptions!$C$50*Assumptions!$D$50/12*(1+Assumptions!$F$50)^(AY5-1),0)</f>
        <v>0</v>
      </c>
      <c r="AZ12" s="14" t="n">
        <f aca="false">IF(AZ4&gt;=Assumptions!$E$50,Assumptions!$C$50*Assumptions!$D$50/12*(1+Assumptions!$F$50)^(AZ5-1),0)</f>
        <v>0</v>
      </c>
      <c r="BA12" s="14" t="n">
        <f aca="false">IF(BA4&gt;=Assumptions!$E$50,Assumptions!$C$50*Assumptions!$D$50/12*(1+Assumptions!$F$50)^(BA5-1),0)</f>
        <v>0</v>
      </c>
      <c r="BB12" s="14" t="n">
        <f aca="false">IF(BB4&gt;=Assumptions!$E$50,Assumptions!$C$50*Assumptions!$D$50/12*(1+Assumptions!$F$50)^(BB5-1),0)</f>
        <v>0</v>
      </c>
      <c r="BC12" s="14" t="n">
        <f aca="false">IF(BC4&gt;=Assumptions!$E$50,Assumptions!$C$50*Assumptions!$D$50/12*(1+Assumptions!$F$50)^(BC5-1),0)</f>
        <v>0</v>
      </c>
      <c r="BD12" s="14" t="n">
        <f aca="false">IF(BD4&gt;=Assumptions!$E$50,Assumptions!$C$50*Assumptions!$D$50/12*(1+Assumptions!$F$50)^(BD5-1),0)</f>
        <v>0</v>
      </c>
      <c r="BE12" s="14" t="n">
        <f aca="false">IF(BE4&gt;=Assumptions!$E$50,Assumptions!$C$50*Assumptions!$D$50/12*(1+Assumptions!$F$50)^(BE5-1),0)</f>
        <v>0</v>
      </c>
      <c r="BF12" s="14" t="n">
        <f aca="false">IF(BF4&gt;=Assumptions!$E$50,Assumptions!$C$50*Assumptions!$D$50/12*(1+Assumptions!$F$50)^(BF5-1),0)</f>
        <v>0</v>
      </c>
      <c r="BG12" s="14" t="n">
        <f aca="false">IF(BG4&gt;=Assumptions!$E$50,Assumptions!$C$50*Assumptions!$D$50/12*(1+Assumptions!$F$50)^(BG5-1),0)</f>
        <v>0</v>
      </c>
      <c r="BH12" s="14" t="n">
        <f aca="false">IF(BH4&gt;=Assumptions!$E$50,Assumptions!$C$50*Assumptions!$D$50/12*(1+Assumptions!$F$50)^(BH5-1),0)</f>
        <v>0</v>
      </c>
      <c r="BI12" s="14" t="n">
        <f aca="false">IF(BI4&gt;=Assumptions!$E$50,Assumptions!$C$50*Assumptions!$D$50/12*(1+Assumptions!$F$50)^(BI5-1),0)</f>
        <v>0</v>
      </c>
      <c r="BJ12" s="14" t="n">
        <f aca="false">IF(BJ4&gt;=Assumptions!$E$50,Assumptions!$C$50*Assumptions!$D$50/12*(1+Assumptions!$F$50)^(BJ5-1),0)</f>
        <v>0</v>
      </c>
      <c r="BK12" s="43" t="n">
        <f aca="false">SUMIF($C$5:$BJ$5,BK$5,$C12:$BJ12)</f>
        <v>0</v>
      </c>
      <c r="BL12" s="43" t="n">
        <f aca="false">SUMIF($C$5:$BJ$5,BL$5,$C12:$BJ12)</f>
        <v>0</v>
      </c>
      <c r="BM12" s="43" t="n">
        <f aca="false">SUMIF($C$5:$BJ$5,BM$5,$C12:$BJ12)</f>
        <v>0</v>
      </c>
      <c r="BN12" s="43" t="n">
        <f aca="false">SUMIF($C$5:$BJ$5,BN$5,$C12:$BJ12)</f>
        <v>0</v>
      </c>
      <c r="BO12" s="43" t="n">
        <f aca="false">SUMIF($C$5:$BJ$5,BO$5,$C12:$BJ12)</f>
        <v>0</v>
      </c>
    </row>
    <row r="13" customFormat="false" ht="15" hidden="false" customHeight="false" outlineLevel="0" collapsed="false">
      <c r="A13" s="18" t="str">
        <f aca="false">"Role 6: "&amp;Assumptions!$B$51</f>
        <v>Role 6: Role 6 (not used)</v>
      </c>
      <c r="B13" s="2"/>
      <c r="C13" s="14" t="n">
        <f aca="false">IF(C4&gt;=Assumptions!$E$51,Assumptions!$C$51*Assumptions!$D$51/12*(1+Assumptions!$F$51)^(C5-1),0)</f>
        <v>0</v>
      </c>
      <c r="D13" s="14" t="n">
        <f aca="false">IF(D4&gt;=Assumptions!$E$51,Assumptions!$C$51*Assumptions!$D$51/12*(1+Assumptions!$F$51)^(D5-1),0)</f>
        <v>0</v>
      </c>
      <c r="E13" s="14" t="n">
        <f aca="false">IF(E4&gt;=Assumptions!$E$51,Assumptions!$C$51*Assumptions!$D$51/12*(1+Assumptions!$F$51)^(E5-1),0)</f>
        <v>0</v>
      </c>
      <c r="F13" s="14" t="n">
        <f aca="false">IF(F4&gt;=Assumptions!$E$51,Assumptions!$C$51*Assumptions!$D$51/12*(1+Assumptions!$F$51)^(F5-1),0)</f>
        <v>0</v>
      </c>
      <c r="G13" s="14" t="n">
        <f aca="false">IF(G4&gt;=Assumptions!$E$51,Assumptions!$C$51*Assumptions!$D$51/12*(1+Assumptions!$F$51)^(G5-1),0)</f>
        <v>0</v>
      </c>
      <c r="H13" s="14" t="n">
        <f aca="false">IF(H4&gt;=Assumptions!$E$51,Assumptions!$C$51*Assumptions!$D$51/12*(1+Assumptions!$F$51)^(H5-1),0)</f>
        <v>0</v>
      </c>
      <c r="I13" s="14" t="n">
        <f aca="false">IF(I4&gt;=Assumptions!$E$51,Assumptions!$C$51*Assumptions!$D$51/12*(1+Assumptions!$F$51)^(I5-1),0)</f>
        <v>0</v>
      </c>
      <c r="J13" s="14" t="n">
        <f aca="false">IF(J4&gt;=Assumptions!$E$51,Assumptions!$C$51*Assumptions!$D$51/12*(1+Assumptions!$F$51)^(J5-1),0)</f>
        <v>0</v>
      </c>
      <c r="K13" s="14" t="n">
        <f aca="false">IF(K4&gt;=Assumptions!$E$51,Assumptions!$C$51*Assumptions!$D$51/12*(1+Assumptions!$F$51)^(K5-1),0)</f>
        <v>0</v>
      </c>
      <c r="L13" s="14" t="n">
        <f aca="false">IF(L4&gt;=Assumptions!$E$51,Assumptions!$C$51*Assumptions!$D$51/12*(1+Assumptions!$F$51)^(L5-1),0)</f>
        <v>0</v>
      </c>
      <c r="M13" s="14" t="n">
        <f aca="false">IF(M4&gt;=Assumptions!$E$51,Assumptions!$C$51*Assumptions!$D$51/12*(1+Assumptions!$F$51)^(M5-1),0)</f>
        <v>0</v>
      </c>
      <c r="N13" s="14" t="n">
        <f aca="false">IF(N4&gt;=Assumptions!$E$51,Assumptions!$C$51*Assumptions!$D$51/12*(1+Assumptions!$F$51)^(N5-1),0)</f>
        <v>0</v>
      </c>
      <c r="O13" s="14" t="n">
        <f aca="false">IF(O4&gt;=Assumptions!$E$51,Assumptions!$C$51*Assumptions!$D$51/12*(1+Assumptions!$F$51)^(O5-1),0)</f>
        <v>0</v>
      </c>
      <c r="P13" s="14" t="n">
        <f aca="false">IF(P4&gt;=Assumptions!$E$51,Assumptions!$C$51*Assumptions!$D$51/12*(1+Assumptions!$F$51)^(P5-1),0)</f>
        <v>0</v>
      </c>
      <c r="Q13" s="14" t="n">
        <f aca="false">IF(Q4&gt;=Assumptions!$E$51,Assumptions!$C$51*Assumptions!$D$51/12*(1+Assumptions!$F$51)^(Q5-1),0)</f>
        <v>0</v>
      </c>
      <c r="R13" s="14" t="n">
        <f aca="false">IF(R4&gt;=Assumptions!$E$51,Assumptions!$C$51*Assumptions!$D$51/12*(1+Assumptions!$F$51)^(R5-1),0)</f>
        <v>0</v>
      </c>
      <c r="S13" s="14" t="n">
        <f aca="false">IF(S4&gt;=Assumptions!$E$51,Assumptions!$C$51*Assumptions!$D$51/12*(1+Assumptions!$F$51)^(S5-1),0)</f>
        <v>0</v>
      </c>
      <c r="T13" s="14" t="n">
        <f aca="false">IF(T4&gt;=Assumptions!$E$51,Assumptions!$C$51*Assumptions!$D$51/12*(1+Assumptions!$F$51)^(T5-1),0)</f>
        <v>0</v>
      </c>
      <c r="U13" s="14" t="n">
        <f aca="false">IF(U4&gt;=Assumptions!$E$51,Assumptions!$C$51*Assumptions!$D$51/12*(1+Assumptions!$F$51)^(U5-1),0)</f>
        <v>0</v>
      </c>
      <c r="V13" s="14" t="n">
        <f aca="false">IF(V4&gt;=Assumptions!$E$51,Assumptions!$C$51*Assumptions!$D$51/12*(1+Assumptions!$F$51)^(V5-1),0)</f>
        <v>0</v>
      </c>
      <c r="W13" s="14" t="n">
        <f aca="false">IF(W4&gt;=Assumptions!$E$51,Assumptions!$C$51*Assumptions!$D$51/12*(1+Assumptions!$F$51)^(W5-1),0)</f>
        <v>0</v>
      </c>
      <c r="X13" s="14" t="n">
        <f aca="false">IF(X4&gt;=Assumptions!$E$51,Assumptions!$C$51*Assumptions!$D$51/12*(1+Assumptions!$F$51)^(X5-1),0)</f>
        <v>0</v>
      </c>
      <c r="Y13" s="14" t="n">
        <f aca="false">IF(Y4&gt;=Assumptions!$E$51,Assumptions!$C$51*Assumptions!$D$51/12*(1+Assumptions!$F$51)^(Y5-1),0)</f>
        <v>0</v>
      </c>
      <c r="Z13" s="14" t="n">
        <f aca="false">IF(Z4&gt;=Assumptions!$E$51,Assumptions!$C$51*Assumptions!$D$51/12*(1+Assumptions!$F$51)^(Z5-1),0)</f>
        <v>0</v>
      </c>
      <c r="AA13" s="14" t="n">
        <f aca="false">IF(AA4&gt;=Assumptions!$E$51,Assumptions!$C$51*Assumptions!$D$51/12*(1+Assumptions!$F$51)^(AA5-1),0)</f>
        <v>0</v>
      </c>
      <c r="AB13" s="14" t="n">
        <f aca="false">IF(AB4&gt;=Assumptions!$E$51,Assumptions!$C$51*Assumptions!$D$51/12*(1+Assumptions!$F$51)^(AB5-1),0)</f>
        <v>0</v>
      </c>
      <c r="AC13" s="14" t="n">
        <f aca="false">IF(AC4&gt;=Assumptions!$E$51,Assumptions!$C$51*Assumptions!$D$51/12*(1+Assumptions!$F$51)^(AC5-1),0)</f>
        <v>0</v>
      </c>
      <c r="AD13" s="14" t="n">
        <f aca="false">IF(AD4&gt;=Assumptions!$E$51,Assumptions!$C$51*Assumptions!$D$51/12*(1+Assumptions!$F$51)^(AD5-1),0)</f>
        <v>0</v>
      </c>
      <c r="AE13" s="14" t="n">
        <f aca="false">IF(AE4&gt;=Assumptions!$E$51,Assumptions!$C$51*Assumptions!$D$51/12*(1+Assumptions!$F$51)^(AE5-1),0)</f>
        <v>0</v>
      </c>
      <c r="AF13" s="14" t="n">
        <f aca="false">IF(AF4&gt;=Assumptions!$E$51,Assumptions!$C$51*Assumptions!$D$51/12*(1+Assumptions!$F$51)^(AF5-1),0)</f>
        <v>0</v>
      </c>
      <c r="AG13" s="14" t="n">
        <f aca="false">IF(AG4&gt;=Assumptions!$E$51,Assumptions!$C$51*Assumptions!$D$51/12*(1+Assumptions!$F$51)^(AG5-1),0)</f>
        <v>0</v>
      </c>
      <c r="AH13" s="14" t="n">
        <f aca="false">IF(AH4&gt;=Assumptions!$E$51,Assumptions!$C$51*Assumptions!$D$51/12*(1+Assumptions!$F$51)^(AH5-1),0)</f>
        <v>0</v>
      </c>
      <c r="AI13" s="14" t="n">
        <f aca="false">IF(AI4&gt;=Assumptions!$E$51,Assumptions!$C$51*Assumptions!$D$51/12*(1+Assumptions!$F$51)^(AI5-1),0)</f>
        <v>0</v>
      </c>
      <c r="AJ13" s="14" t="n">
        <f aca="false">IF(AJ4&gt;=Assumptions!$E$51,Assumptions!$C$51*Assumptions!$D$51/12*(1+Assumptions!$F$51)^(AJ5-1),0)</f>
        <v>0</v>
      </c>
      <c r="AK13" s="14" t="n">
        <f aca="false">IF(AK4&gt;=Assumptions!$E$51,Assumptions!$C$51*Assumptions!$D$51/12*(1+Assumptions!$F$51)^(AK5-1),0)</f>
        <v>0</v>
      </c>
      <c r="AL13" s="14" t="n">
        <f aca="false">IF(AL4&gt;=Assumptions!$E$51,Assumptions!$C$51*Assumptions!$D$51/12*(1+Assumptions!$F$51)^(AL5-1),0)</f>
        <v>0</v>
      </c>
      <c r="AM13" s="14" t="n">
        <f aca="false">IF(AM4&gt;=Assumptions!$E$51,Assumptions!$C$51*Assumptions!$D$51/12*(1+Assumptions!$F$51)^(AM5-1),0)</f>
        <v>0</v>
      </c>
      <c r="AN13" s="14" t="n">
        <f aca="false">IF(AN4&gt;=Assumptions!$E$51,Assumptions!$C$51*Assumptions!$D$51/12*(1+Assumptions!$F$51)^(AN5-1),0)</f>
        <v>0</v>
      </c>
      <c r="AO13" s="14" t="n">
        <f aca="false">IF(AO4&gt;=Assumptions!$E$51,Assumptions!$C$51*Assumptions!$D$51/12*(1+Assumptions!$F$51)^(AO5-1),0)</f>
        <v>0</v>
      </c>
      <c r="AP13" s="14" t="n">
        <f aca="false">IF(AP4&gt;=Assumptions!$E$51,Assumptions!$C$51*Assumptions!$D$51/12*(1+Assumptions!$F$51)^(AP5-1),0)</f>
        <v>0</v>
      </c>
      <c r="AQ13" s="14" t="n">
        <f aca="false">IF(AQ4&gt;=Assumptions!$E$51,Assumptions!$C$51*Assumptions!$D$51/12*(1+Assumptions!$F$51)^(AQ5-1),0)</f>
        <v>0</v>
      </c>
      <c r="AR13" s="14" t="n">
        <f aca="false">IF(AR4&gt;=Assumptions!$E$51,Assumptions!$C$51*Assumptions!$D$51/12*(1+Assumptions!$F$51)^(AR5-1),0)</f>
        <v>0</v>
      </c>
      <c r="AS13" s="14" t="n">
        <f aca="false">IF(AS4&gt;=Assumptions!$E$51,Assumptions!$C$51*Assumptions!$D$51/12*(1+Assumptions!$F$51)^(AS5-1),0)</f>
        <v>0</v>
      </c>
      <c r="AT13" s="14" t="n">
        <f aca="false">IF(AT4&gt;=Assumptions!$E$51,Assumptions!$C$51*Assumptions!$D$51/12*(1+Assumptions!$F$51)^(AT5-1),0)</f>
        <v>0</v>
      </c>
      <c r="AU13" s="14" t="n">
        <f aca="false">IF(AU4&gt;=Assumptions!$E$51,Assumptions!$C$51*Assumptions!$D$51/12*(1+Assumptions!$F$51)^(AU5-1),0)</f>
        <v>0</v>
      </c>
      <c r="AV13" s="14" t="n">
        <f aca="false">IF(AV4&gt;=Assumptions!$E$51,Assumptions!$C$51*Assumptions!$D$51/12*(1+Assumptions!$F$51)^(AV5-1),0)</f>
        <v>0</v>
      </c>
      <c r="AW13" s="14" t="n">
        <f aca="false">IF(AW4&gt;=Assumptions!$E$51,Assumptions!$C$51*Assumptions!$D$51/12*(1+Assumptions!$F$51)^(AW5-1),0)</f>
        <v>0</v>
      </c>
      <c r="AX13" s="14" t="n">
        <f aca="false">IF(AX4&gt;=Assumptions!$E$51,Assumptions!$C$51*Assumptions!$D$51/12*(1+Assumptions!$F$51)^(AX5-1),0)</f>
        <v>0</v>
      </c>
      <c r="AY13" s="14" t="n">
        <f aca="false">IF(AY4&gt;=Assumptions!$E$51,Assumptions!$C$51*Assumptions!$D$51/12*(1+Assumptions!$F$51)^(AY5-1),0)</f>
        <v>0</v>
      </c>
      <c r="AZ13" s="14" t="n">
        <f aca="false">IF(AZ4&gt;=Assumptions!$E$51,Assumptions!$C$51*Assumptions!$D$51/12*(1+Assumptions!$F$51)^(AZ5-1),0)</f>
        <v>0</v>
      </c>
      <c r="BA13" s="14" t="n">
        <f aca="false">IF(BA4&gt;=Assumptions!$E$51,Assumptions!$C$51*Assumptions!$D$51/12*(1+Assumptions!$F$51)^(BA5-1),0)</f>
        <v>0</v>
      </c>
      <c r="BB13" s="14" t="n">
        <f aca="false">IF(BB4&gt;=Assumptions!$E$51,Assumptions!$C$51*Assumptions!$D$51/12*(1+Assumptions!$F$51)^(BB5-1),0)</f>
        <v>0</v>
      </c>
      <c r="BC13" s="14" t="n">
        <f aca="false">IF(BC4&gt;=Assumptions!$E$51,Assumptions!$C$51*Assumptions!$D$51/12*(1+Assumptions!$F$51)^(BC5-1),0)</f>
        <v>0</v>
      </c>
      <c r="BD13" s="14" t="n">
        <f aca="false">IF(BD4&gt;=Assumptions!$E$51,Assumptions!$C$51*Assumptions!$D$51/12*(1+Assumptions!$F$51)^(BD5-1),0)</f>
        <v>0</v>
      </c>
      <c r="BE13" s="14" t="n">
        <f aca="false">IF(BE4&gt;=Assumptions!$E$51,Assumptions!$C$51*Assumptions!$D$51/12*(1+Assumptions!$F$51)^(BE5-1),0)</f>
        <v>0</v>
      </c>
      <c r="BF13" s="14" t="n">
        <f aca="false">IF(BF4&gt;=Assumptions!$E$51,Assumptions!$C$51*Assumptions!$D$51/12*(1+Assumptions!$F$51)^(BF5-1),0)</f>
        <v>0</v>
      </c>
      <c r="BG13" s="14" t="n">
        <f aca="false">IF(BG4&gt;=Assumptions!$E$51,Assumptions!$C$51*Assumptions!$D$51/12*(1+Assumptions!$F$51)^(BG5-1),0)</f>
        <v>0</v>
      </c>
      <c r="BH13" s="14" t="n">
        <f aca="false">IF(BH4&gt;=Assumptions!$E$51,Assumptions!$C$51*Assumptions!$D$51/12*(1+Assumptions!$F$51)^(BH5-1),0)</f>
        <v>0</v>
      </c>
      <c r="BI13" s="14" t="n">
        <f aca="false">IF(BI4&gt;=Assumptions!$E$51,Assumptions!$C$51*Assumptions!$D$51/12*(1+Assumptions!$F$51)^(BI5-1),0)</f>
        <v>0</v>
      </c>
      <c r="BJ13" s="14" t="n">
        <f aca="false">IF(BJ4&gt;=Assumptions!$E$51,Assumptions!$C$51*Assumptions!$D$51/12*(1+Assumptions!$F$51)^(BJ5-1),0)</f>
        <v>0</v>
      </c>
      <c r="BK13" s="43" t="n">
        <f aca="false">SUMIF($C$5:$BJ$5,BK$5,$C13:$BJ13)</f>
        <v>0</v>
      </c>
      <c r="BL13" s="43" t="n">
        <f aca="false">SUMIF($C$5:$BJ$5,BL$5,$C13:$BJ13)</f>
        <v>0</v>
      </c>
      <c r="BM13" s="43" t="n">
        <f aca="false">SUMIF($C$5:$BJ$5,BM$5,$C13:$BJ13)</f>
        <v>0</v>
      </c>
      <c r="BN13" s="43" t="n">
        <f aca="false">SUMIF($C$5:$BJ$5,BN$5,$C13:$BJ13)</f>
        <v>0</v>
      </c>
      <c r="BO13" s="43" t="n">
        <f aca="false">SUMIF($C$5:$BJ$5,BO$5,$C13:$BJ13)</f>
        <v>0</v>
      </c>
    </row>
    <row r="14" customFormat="false" ht="15" hidden="false" customHeight="false" outlineLevel="0" collapsed="false">
      <c r="A14" s="18" t="str">
        <f aca="false">"Role 7: "&amp;Assumptions!$B$52</f>
        <v>Role 7: Role 7 (not used)</v>
      </c>
      <c r="B14" s="2"/>
      <c r="C14" s="14" t="n">
        <f aca="false">IF(C4&gt;=Assumptions!$E$52,Assumptions!$C$52*Assumptions!$D$52/12*(1+Assumptions!$F$52)^(C5-1),0)</f>
        <v>0</v>
      </c>
      <c r="D14" s="14" t="n">
        <f aca="false">IF(D4&gt;=Assumptions!$E$52,Assumptions!$C$52*Assumptions!$D$52/12*(1+Assumptions!$F$52)^(D5-1),0)</f>
        <v>0</v>
      </c>
      <c r="E14" s="14" t="n">
        <f aca="false">IF(E4&gt;=Assumptions!$E$52,Assumptions!$C$52*Assumptions!$D$52/12*(1+Assumptions!$F$52)^(E5-1),0)</f>
        <v>0</v>
      </c>
      <c r="F14" s="14" t="n">
        <f aca="false">IF(F4&gt;=Assumptions!$E$52,Assumptions!$C$52*Assumptions!$D$52/12*(1+Assumptions!$F$52)^(F5-1),0)</f>
        <v>0</v>
      </c>
      <c r="G14" s="14" t="n">
        <f aca="false">IF(G4&gt;=Assumptions!$E$52,Assumptions!$C$52*Assumptions!$D$52/12*(1+Assumptions!$F$52)^(G5-1),0)</f>
        <v>0</v>
      </c>
      <c r="H14" s="14" t="n">
        <f aca="false">IF(H4&gt;=Assumptions!$E$52,Assumptions!$C$52*Assumptions!$D$52/12*(1+Assumptions!$F$52)^(H5-1),0)</f>
        <v>0</v>
      </c>
      <c r="I14" s="14" t="n">
        <f aca="false">IF(I4&gt;=Assumptions!$E$52,Assumptions!$C$52*Assumptions!$D$52/12*(1+Assumptions!$F$52)^(I5-1),0)</f>
        <v>0</v>
      </c>
      <c r="J14" s="14" t="n">
        <f aca="false">IF(J4&gt;=Assumptions!$E$52,Assumptions!$C$52*Assumptions!$D$52/12*(1+Assumptions!$F$52)^(J5-1),0)</f>
        <v>0</v>
      </c>
      <c r="K14" s="14" t="n">
        <f aca="false">IF(K4&gt;=Assumptions!$E$52,Assumptions!$C$52*Assumptions!$D$52/12*(1+Assumptions!$F$52)^(K5-1),0)</f>
        <v>0</v>
      </c>
      <c r="L14" s="14" t="n">
        <f aca="false">IF(L4&gt;=Assumptions!$E$52,Assumptions!$C$52*Assumptions!$D$52/12*(1+Assumptions!$F$52)^(L5-1),0)</f>
        <v>0</v>
      </c>
      <c r="M14" s="14" t="n">
        <f aca="false">IF(M4&gt;=Assumptions!$E$52,Assumptions!$C$52*Assumptions!$D$52/12*(1+Assumptions!$F$52)^(M5-1),0)</f>
        <v>0</v>
      </c>
      <c r="N14" s="14" t="n">
        <f aca="false">IF(N4&gt;=Assumptions!$E$52,Assumptions!$C$52*Assumptions!$D$52/12*(1+Assumptions!$F$52)^(N5-1),0)</f>
        <v>0</v>
      </c>
      <c r="O14" s="14" t="n">
        <f aca="false">IF(O4&gt;=Assumptions!$E$52,Assumptions!$C$52*Assumptions!$D$52/12*(1+Assumptions!$F$52)^(O5-1),0)</f>
        <v>0</v>
      </c>
      <c r="P14" s="14" t="n">
        <f aca="false">IF(P4&gt;=Assumptions!$E$52,Assumptions!$C$52*Assumptions!$D$52/12*(1+Assumptions!$F$52)^(P5-1),0)</f>
        <v>0</v>
      </c>
      <c r="Q14" s="14" t="n">
        <f aca="false">IF(Q4&gt;=Assumptions!$E$52,Assumptions!$C$52*Assumptions!$D$52/12*(1+Assumptions!$F$52)^(Q5-1),0)</f>
        <v>0</v>
      </c>
      <c r="R14" s="14" t="n">
        <f aca="false">IF(R4&gt;=Assumptions!$E$52,Assumptions!$C$52*Assumptions!$D$52/12*(1+Assumptions!$F$52)^(R5-1),0)</f>
        <v>0</v>
      </c>
      <c r="S14" s="14" t="n">
        <f aca="false">IF(S4&gt;=Assumptions!$E$52,Assumptions!$C$52*Assumptions!$D$52/12*(1+Assumptions!$F$52)^(S5-1),0)</f>
        <v>0</v>
      </c>
      <c r="T14" s="14" t="n">
        <f aca="false">IF(T4&gt;=Assumptions!$E$52,Assumptions!$C$52*Assumptions!$D$52/12*(1+Assumptions!$F$52)^(T5-1),0)</f>
        <v>0</v>
      </c>
      <c r="U14" s="14" t="n">
        <f aca="false">IF(U4&gt;=Assumptions!$E$52,Assumptions!$C$52*Assumptions!$D$52/12*(1+Assumptions!$F$52)^(U5-1),0)</f>
        <v>0</v>
      </c>
      <c r="V14" s="14" t="n">
        <f aca="false">IF(V4&gt;=Assumptions!$E$52,Assumptions!$C$52*Assumptions!$D$52/12*(1+Assumptions!$F$52)^(V5-1),0)</f>
        <v>0</v>
      </c>
      <c r="W14" s="14" t="n">
        <f aca="false">IF(W4&gt;=Assumptions!$E$52,Assumptions!$C$52*Assumptions!$D$52/12*(1+Assumptions!$F$52)^(W5-1),0)</f>
        <v>0</v>
      </c>
      <c r="X14" s="14" t="n">
        <f aca="false">IF(X4&gt;=Assumptions!$E$52,Assumptions!$C$52*Assumptions!$D$52/12*(1+Assumptions!$F$52)^(X5-1),0)</f>
        <v>0</v>
      </c>
      <c r="Y14" s="14" t="n">
        <f aca="false">IF(Y4&gt;=Assumptions!$E$52,Assumptions!$C$52*Assumptions!$D$52/12*(1+Assumptions!$F$52)^(Y5-1),0)</f>
        <v>0</v>
      </c>
      <c r="Z14" s="14" t="n">
        <f aca="false">IF(Z4&gt;=Assumptions!$E$52,Assumptions!$C$52*Assumptions!$D$52/12*(1+Assumptions!$F$52)^(Z5-1),0)</f>
        <v>0</v>
      </c>
      <c r="AA14" s="14" t="n">
        <f aca="false">IF(AA4&gt;=Assumptions!$E$52,Assumptions!$C$52*Assumptions!$D$52/12*(1+Assumptions!$F$52)^(AA5-1),0)</f>
        <v>0</v>
      </c>
      <c r="AB14" s="14" t="n">
        <f aca="false">IF(AB4&gt;=Assumptions!$E$52,Assumptions!$C$52*Assumptions!$D$52/12*(1+Assumptions!$F$52)^(AB5-1),0)</f>
        <v>0</v>
      </c>
      <c r="AC14" s="14" t="n">
        <f aca="false">IF(AC4&gt;=Assumptions!$E$52,Assumptions!$C$52*Assumptions!$D$52/12*(1+Assumptions!$F$52)^(AC5-1),0)</f>
        <v>0</v>
      </c>
      <c r="AD14" s="14" t="n">
        <f aca="false">IF(AD4&gt;=Assumptions!$E$52,Assumptions!$C$52*Assumptions!$D$52/12*(1+Assumptions!$F$52)^(AD5-1),0)</f>
        <v>0</v>
      </c>
      <c r="AE14" s="14" t="n">
        <f aca="false">IF(AE4&gt;=Assumptions!$E$52,Assumptions!$C$52*Assumptions!$D$52/12*(1+Assumptions!$F$52)^(AE5-1),0)</f>
        <v>0</v>
      </c>
      <c r="AF14" s="14" t="n">
        <f aca="false">IF(AF4&gt;=Assumptions!$E$52,Assumptions!$C$52*Assumptions!$D$52/12*(1+Assumptions!$F$52)^(AF5-1),0)</f>
        <v>0</v>
      </c>
      <c r="AG14" s="14" t="n">
        <f aca="false">IF(AG4&gt;=Assumptions!$E$52,Assumptions!$C$52*Assumptions!$D$52/12*(1+Assumptions!$F$52)^(AG5-1),0)</f>
        <v>0</v>
      </c>
      <c r="AH14" s="14" t="n">
        <f aca="false">IF(AH4&gt;=Assumptions!$E$52,Assumptions!$C$52*Assumptions!$D$52/12*(1+Assumptions!$F$52)^(AH5-1),0)</f>
        <v>0</v>
      </c>
      <c r="AI14" s="14" t="n">
        <f aca="false">IF(AI4&gt;=Assumptions!$E$52,Assumptions!$C$52*Assumptions!$D$52/12*(1+Assumptions!$F$52)^(AI5-1),0)</f>
        <v>0</v>
      </c>
      <c r="AJ14" s="14" t="n">
        <f aca="false">IF(AJ4&gt;=Assumptions!$E$52,Assumptions!$C$52*Assumptions!$D$52/12*(1+Assumptions!$F$52)^(AJ5-1),0)</f>
        <v>0</v>
      </c>
      <c r="AK14" s="14" t="n">
        <f aca="false">IF(AK4&gt;=Assumptions!$E$52,Assumptions!$C$52*Assumptions!$D$52/12*(1+Assumptions!$F$52)^(AK5-1),0)</f>
        <v>0</v>
      </c>
      <c r="AL14" s="14" t="n">
        <f aca="false">IF(AL4&gt;=Assumptions!$E$52,Assumptions!$C$52*Assumptions!$D$52/12*(1+Assumptions!$F$52)^(AL5-1),0)</f>
        <v>0</v>
      </c>
      <c r="AM14" s="14" t="n">
        <f aca="false">IF(AM4&gt;=Assumptions!$E$52,Assumptions!$C$52*Assumptions!$D$52/12*(1+Assumptions!$F$52)^(AM5-1),0)</f>
        <v>0</v>
      </c>
      <c r="AN14" s="14" t="n">
        <f aca="false">IF(AN4&gt;=Assumptions!$E$52,Assumptions!$C$52*Assumptions!$D$52/12*(1+Assumptions!$F$52)^(AN5-1),0)</f>
        <v>0</v>
      </c>
      <c r="AO14" s="14" t="n">
        <f aca="false">IF(AO4&gt;=Assumptions!$E$52,Assumptions!$C$52*Assumptions!$D$52/12*(1+Assumptions!$F$52)^(AO5-1),0)</f>
        <v>0</v>
      </c>
      <c r="AP14" s="14" t="n">
        <f aca="false">IF(AP4&gt;=Assumptions!$E$52,Assumptions!$C$52*Assumptions!$D$52/12*(1+Assumptions!$F$52)^(AP5-1),0)</f>
        <v>0</v>
      </c>
      <c r="AQ14" s="14" t="n">
        <f aca="false">IF(AQ4&gt;=Assumptions!$E$52,Assumptions!$C$52*Assumptions!$D$52/12*(1+Assumptions!$F$52)^(AQ5-1),0)</f>
        <v>0</v>
      </c>
      <c r="AR14" s="14" t="n">
        <f aca="false">IF(AR4&gt;=Assumptions!$E$52,Assumptions!$C$52*Assumptions!$D$52/12*(1+Assumptions!$F$52)^(AR5-1),0)</f>
        <v>0</v>
      </c>
      <c r="AS14" s="14" t="n">
        <f aca="false">IF(AS4&gt;=Assumptions!$E$52,Assumptions!$C$52*Assumptions!$D$52/12*(1+Assumptions!$F$52)^(AS5-1),0)</f>
        <v>0</v>
      </c>
      <c r="AT14" s="14" t="n">
        <f aca="false">IF(AT4&gt;=Assumptions!$E$52,Assumptions!$C$52*Assumptions!$D$52/12*(1+Assumptions!$F$52)^(AT5-1),0)</f>
        <v>0</v>
      </c>
      <c r="AU14" s="14" t="n">
        <f aca="false">IF(AU4&gt;=Assumptions!$E$52,Assumptions!$C$52*Assumptions!$D$52/12*(1+Assumptions!$F$52)^(AU5-1),0)</f>
        <v>0</v>
      </c>
      <c r="AV14" s="14" t="n">
        <f aca="false">IF(AV4&gt;=Assumptions!$E$52,Assumptions!$C$52*Assumptions!$D$52/12*(1+Assumptions!$F$52)^(AV5-1),0)</f>
        <v>0</v>
      </c>
      <c r="AW14" s="14" t="n">
        <f aca="false">IF(AW4&gt;=Assumptions!$E$52,Assumptions!$C$52*Assumptions!$D$52/12*(1+Assumptions!$F$52)^(AW5-1),0)</f>
        <v>0</v>
      </c>
      <c r="AX14" s="14" t="n">
        <f aca="false">IF(AX4&gt;=Assumptions!$E$52,Assumptions!$C$52*Assumptions!$D$52/12*(1+Assumptions!$F$52)^(AX5-1),0)</f>
        <v>0</v>
      </c>
      <c r="AY14" s="14" t="n">
        <f aca="false">IF(AY4&gt;=Assumptions!$E$52,Assumptions!$C$52*Assumptions!$D$52/12*(1+Assumptions!$F$52)^(AY5-1),0)</f>
        <v>0</v>
      </c>
      <c r="AZ14" s="14" t="n">
        <f aca="false">IF(AZ4&gt;=Assumptions!$E$52,Assumptions!$C$52*Assumptions!$D$52/12*(1+Assumptions!$F$52)^(AZ5-1),0)</f>
        <v>0</v>
      </c>
      <c r="BA14" s="14" t="n">
        <f aca="false">IF(BA4&gt;=Assumptions!$E$52,Assumptions!$C$52*Assumptions!$D$52/12*(1+Assumptions!$F$52)^(BA5-1),0)</f>
        <v>0</v>
      </c>
      <c r="BB14" s="14" t="n">
        <f aca="false">IF(BB4&gt;=Assumptions!$E$52,Assumptions!$C$52*Assumptions!$D$52/12*(1+Assumptions!$F$52)^(BB5-1),0)</f>
        <v>0</v>
      </c>
      <c r="BC14" s="14" t="n">
        <f aca="false">IF(BC4&gt;=Assumptions!$E$52,Assumptions!$C$52*Assumptions!$D$52/12*(1+Assumptions!$F$52)^(BC5-1),0)</f>
        <v>0</v>
      </c>
      <c r="BD14" s="14" t="n">
        <f aca="false">IF(BD4&gt;=Assumptions!$E$52,Assumptions!$C$52*Assumptions!$D$52/12*(1+Assumptions!$F$52)^(BD5-1),0)</f>
        <v>0</v>
      </c>
      <c r="BE14" s="14" t="n">
        <f aca="false">IF(BE4&gt;=Assumptions!$E$52,Assumptions!$C$52*Assumptions!$D$52/12*(1+Assumptions!$F$52)^(BE5-1),0)</f>
        <v>0</v>
      </c>
      <c r="BF14" s="14" t="n">
        <f aca="false">IF(BF4&gt;=Assumptions!$E$52,Assumptions!$C$52*Assumptions!$D$52/12*(1+Assumptions!$F$52)^(BF5-1),0)</f>
        <v>0</v>
      </c>
      <c r="BG14" s="14" t="n">
        <f aca="false">IF(BG4&gt;=Assumptions!$E$52,Assumptions!$C$52*Assumptions!$D$52/12*(1+Assumptions!$F$52)^(BG5-1),0)</f>
        <v>0</v>
      </c>
      <c r="BH14" s="14" t="n">
        <f aca="false">IF(BH4&gt;=Assumptions!$E$52,Assumptions!$C$52*Assumptions!$D$52/12*(1+Assumptions!$F$52)^(BH5-1),0)</f>
        <v>0</v>
      </c>
      <c r="BI14" s="14" t="n">
        <f aca="false">IF(BI4&gt;=Assumptions!$E$52,Assumptions!$C$52*Assumptions!$D$52/12*(1+Assumptions!$F$52)^(BI5-1),0)</f>
        <v>0</v>
      </c>
      <c r="BJ14" s="14" t="n">
        <f aca="false">IF(BJ4&gt;=Assumptions!$E$52,Assumptions!$C$52*Assumptions!$D$52/12*(1+Assumptions!$F$52)^(BJ5-1),0)</f>
        <v>0</v>
      </c>
      <c r="BK14" s="43" t="n">
        <f aca="false">SUMIF($C$5:$BJ$5,BK$5,$C14:$BJ14)</f>
        <v>0</v>
      </c>
      <c r="BL14" s="43" t="n">
        <f aca="false">SUMIF($C$5:$BJ$5,BL$5,$C14:$BJ14)</f>
        <v>0</v>
      </c>
      <c r="BM14" s="43" t="n">
        <f aca="false">SUMIF($C$5:$BJ$5,BM$5,$C14:$BJ14)</f>
        <v>0</v>
      </c>
      <c r="BN14" s="43" t="n">
        <f aca="false">SUMIF($C$5:$BJ$5,BN$5,$C14:$BJ14)</f>
        <v>0</v>
      </c>
      <c r="BO14" s="43" t="n">
        <f aca="false">SUMIF($C$5:$BJ$5,BO$5,$C14:$BJ14)</f>
        <v>0</v>
      </c>
    </row>
    <row r="15" customFormat="false" ht="15" hidden="false" customHeight="false" outlineLevel="0" collapsed="false">
      <c r="A15" s="18" t="str">
        <f aca="false">"Role 8: "&amp;Assumptions!$B$53</f>
        <v>Role 8: Role 8 (not used)</v>
      </c>
      <c r="B15" s="2"/>
      <c r="C15" s="14" t="n">
        <f aca="false">IF(C4&gt;=Assumptions!$E$53,Assumptions!$C$53*Assumptions!$D$53/12*(1+Assumptions!$F$53)^(C5-1),0)</f>
        <v>0</v>
      </c>
      <c r="D15" s="14" t="n">
        <f aca="false">IF(D4&gt;=Assumptions!$E$53,Assumptions!$C$53*Assumptions!$D$53/12*(1+Assumptions!$F$53)^(D5-1),0)</f>
        <v>0</v>
      </c>
      <c r="E15" s="14" t="n">
        <f aca="false">IF(E4&gt;=Assumptions!$E$53,Assumptions!$C$53*Assumptions!$D$53/12*(1+Assumptions!$F$53)^(E5-1),0)</f>
        <v>0</v>
      </c>
      <c r="F15" s="14" t="n">
        <f aca="false">IF(F4&gt;=Assumptions!$E$53,Assumptions!$C$53*Assumptions!$D$53/12*(1+Assumptions!$F$53)^(F5-1),0)</f>
        <v>0</v>
      </c>
      <c r="G15" s="14" t="n">
        <f aca="false">IF(G4&gt;=Assumptions!$E$53,Assumptions!$C$53*Assumptions!$D$53/12*(1+Assumptions!$F$53)^(G5-1),0)</f>
        <v>0</v>
      </c>
      <c r="H15" s="14" t="n">
        <f aca="false">IF(H4&gt;=Assumptions!$E$53,Assumptions!$C$53*Assumptions!$D$53/12*(1+Assumptions!$F$53)^(H5-1),0)</f>
        <v>0</v>
      </c>
      <c r="I15" s="14" t="n">
        <f aca="false">IF(I4&gt;=Assumptions!$E$53,Assumptions!$C$53*Assumptions!$D$53/12*(1+Assumptions!$F$53)^(I5-1),0)</f>
        <v>0</v>
      </c>
      <c r="J15" s="14" t="n">
        <f aca="false">IF(J4&gt;=Assumptions!$E$53,Assumptions!$C$53*Assumptions!$D$53/12*(1+Assumptions!$F$53)^(J5-1),0)</f>
        <v>0</v>
      </c>
      <c r="K15" s="14" t="n">
        <f aca="false">IF(K4&gt;=Assumptions!$E$53,Assumptions!$C$53*Assumptions!$D$53/12*(1+Assumptions!$F$53)^(K5-1),0)</f>
        <v>0</v>
      </c>
      <c r="L15" s="14" t="n">
        <f aca="false">IF(L4&gt;=Assumptions!$E$53,Assumptions!$C$53*Assumptions!$D$53/12*(1+Assumptions!$F$53)^(L5-1),0)</f>
        <v>0</v>
      </c>
      <c r="M15" s="14" t="n">
        <f aca="false">IF(M4&gt;=Assumptions!$E$53,Assumptions!$C$53*Assumptions!$D$53/12*(1+Assumptions!$F$53)^(M5-1),0)</f>
        <v>0</v>
      </c>
      <c r="N15" s="14" t="n">
        <f aca="false">IF(N4&gt;=Assumptions!$E$53,Assumptions!$C$53*Assumptions!$D$53/12*(1+Assumptions!$F$53)^(N5-1),0)</f>
        <v>0</v>
      </c>
      <c r="O15" s="14" t="n">
        <f aca="false">IF(O4&gt;=Assumptions!$E$53,Assumptions!$C$53*Assumptions!$D$53/12*(1+Assumptions!$F$53)^(O5-1),0)</f>
        <v>0</v>
      </c>
      <c r="P15" s="14" t="n">
        <f aca="false">IF(P4&gt;=Assumptions!$E$53,Assumptions!$C$53*Assumptions!$D$53/12*(1+Assumptions!$F$53)^(P5-1),0)</f>
        <v>0</v>
      </c>
      <c r="Q15" s="14" t="n">
        <f aca="false">IF(Q4&gt;=Assumptions!$E$53,Assumptions!$C$53*Assumptions!$D$53/12*(1+Assumptions!$F$53)^(Q5-1),0)</f>
        <v>0</v>
      </c>
      <c r="R15" s="14" t="n">
        <f aca="false">IF(R4&gt;=Assumptions!$E$53,Assumptions!$C$53*Assumptions!$D$53/12*(1+Assumptions!$F$53)^(R5-1),0)</f>
        <v>0</v>
      </c>
      <c r="S15" s="14" t="n">
        <f aca="false">IF(S4&gt;=Assumptions!$E$53,Assumptions!$C$53*Assumptions!$D$53/12*(1+Assumptions!$F$53)^(S5-1),0)</f>
        <v>0</v>
      </c>
      <c r="T15" s="14" t="n">
        <f aca="false">IF(T4&gt;=Assumptions!$E$53,Assumptions!$C$53*Assumptions!$D$53/12*(1+Assumptions!$F$53)^(T5-1),0)</f>
        <v>0</v>
      </c>
      <c r="U15" s="14" t="n">
        <f aca="false">IF(U4&gt;=Assumptions!$E$53,Assumptions!$C$53*Assumptions!$D$53/12*(1+Assumptions!$F$53)^(U5-1),0)</f>
        <v>0</v>
      </c>
      <c r="V15" s="14" t="n">
        <f aca="false">IF(V4&gt;=Assumptions!$E$53,Assumptions!$C$53*Assumptions!$D$53/12*(1+Assumptions!$F$53)^(V5-1),0)</f>
        <v>0</v>
      </c>
      <c r="W15" s="14" t="n">
        <f aca="false">IF(W4&gt;=Assumptions!$E$53,Assumptions!$C$53*Assumptions!$D$53/12*(1+Assumptions!$F$53)^(W5-1),0)</f>
        <v>0</v>
      </c>
      <c r="X15" s="14" t="n">
        <f aca="false">IF(X4&gt;=Assumptions!$E$53,Assumptions!$C$53*Assumptions!$D$53/12*(1+Assumptions!$F$53)^(X5-1),0)</f>
        <v>0</v>
      </c>
      <c r="Y15" s="14" t="n">
        <f aca="false">IF(Y4&gt;=Assumptions!$E$53,Assumptions!$C$53*Assumptions!$D$53/12*(1+Assumptions!$F$53)^(Y5-1),0)</f>
        <v>0</v>
      </c>
      <c r="Z15" s="14" t="n">
        <f aca="false">IF(Z4&gt;=Assumptions!$E$53,Assumptions!$C$53*Assumptions!$D$53/12*(1+Assumptions!$F$53)^(Z5-1),0)</f>
        <v>0</v>
      </c>
      <c r="AA15" s="14" t="n">
        <f aca="false">IF(AA4&gt;=Assumptions!$E$53,Assumptions!$C$53*Assumptions!$D$53/12*(1+Assumptions!$F$53)^(AA5-1),0)</f>
        <v>0</v>
      </c>
      <c r="AB15" s="14" t="n">
        <f aca="false">IF(AB4&gt;=Assumptions!$E$53,Assumptions!$C$53*Assumptions!$D$53/12*(1+Assumptions!$F$53)^(AB5-1),0)</f>
        <v>0</v>
      </c>
      <c r="AC15" s="14" t="n">
        <f aca="false">IF(AC4&gt;=Assumptions!$E$53,Assumptions!$C$53*Assumptions!$D$53/12*(1+Assumptions!$F$53)^(AC5-1),0)</f>
        <v>0</v>
      </c>
      <c r="AD15" s="14" t="n">
        <f aca="false">IF(AD4&gt;=Assumptions!$E$53,Assumptions!$C$53*Assumptions!$D$53/12*(1+Assumptions!$F$53)^(AD5-1),0)</f>
        <v>0</v>
      </c>
      <c r="AE15" s="14" t="n">
        <f aca="false">IF(AE4&gt;=Assumptions!$E$53,Assumptions!$C$53*Assumptions!$D$53/12*(1+Assumptions!$F$53)^(AE5-1),0)</f>
        <v>0</v>
      </c>
      <c r="AF15" s="14" t="n">
        <f aca="false">IF(AF4&gt;=Assumptions!$E$53,Assumptions!$C$53*Assumptions!$D$53/12*(1+Assumptions!$F$53)^(AF5-1),0)</f>
        <v>0</v>
      </c>
      <c r="AG15" s="14" t="n">
        <f aca="false">IF(AG4&gt;=Assumptions!$E$53,Assumptions!$C$53*Assumptions!$D$53/12*(1+Assumptions!$F$53)^(AG5-1),0)</f>
        <v>0</v>
      </c>
      <c r="AH15" s="14" t="n">
        <f aca="false">IF(AH4&gt;=Assumptions!$E$53,Assumptions!$C$53*Assumptions!$D$53/12*(1+Assumptions!$F$53)^(AH5-1),0)</f>
        <v>0</v>
      </c>
      <c r="AI15" s="14" t="n">
        <f aca="false">IF(AI4&gt;=Assumptions!$E$53,Assumptions!$C$53*Assumptions!$D$53/12*(1+Assumptions!$F$53)^(AI5-1),0)</f>
        <v>0</v>
      </c>
      <c r="AJ15" s="14" t="n">
        <f aca="false">IF(AJ4&gt;=Assumptions!$E$53,Assumptions!$C$53*Assumptions!$D$53/12*(1+Assumptions!$F$53)^(AJ5-1),0)</f>
        <v>0</v>
      </c>
      <c r="AK15" s="14" t="n">
        <f aca="false">IF(AK4&gt;=Assumptions!$E$53,Assumptions!$C$53*Assumptions!$D$53/12*(1+Assumptions!$F$53)^(AK5-1),0)</f>
        <v>0</v>
      </c>
      <c r="AL15" s="14" t="n">
        <f aca="false">IF(AL4&gt;=Assumptions!$E$53,Assumptions!$C$53*Assumptions!$D$53/12*(1+Assumptions!$F$53)^(AL5-1),0)</f>
        <v>0</v>
      </c>
      <c r="AM15" s="14" t="n">
        <f aca="false">IF(AM4&gt;=Assumptions!$E$53,Assumptions!$C$53*Assumptions!$D$53/12*(1+Assumptions!$F$53)^(AM5-1),0)</f>
        <v>0</v>
      </c>
      <c r="AN15" s="14" t="n">
        <f aca="false">IF(AN4&gt;=Assumptions!$E$53,Assumptions!$C$53*Assumptions!$D$53/12*(1+Assumptions!$F$53)^(AN5-1),0)</f>
        <v>0</v>
      </c>
      <c r="AO15" s="14" t="n">
        <f aca="false">IF(AO4&gt;=Assumptions!$E$53,Assumptions!$C$53*Assumptions!$D$53/12*(1+Assumptions!$F$53)^(AO5-1),0)</f>
        <v>0</v>
      </c>
      <c r="AP15" s="14" t="n">
        <f aca="false">IF(AP4&gt;=Assumptions!$E$53,Assumptions!$C$53*Assumptions!$D$53/12*(1+Assumptions!$F$53)^(AP5-1),0)</f>
        <v>0</v>
      </c>
      <c r="AQ15" s="14" t="n">
        <f aca="false">IF(AQ4&gt;=Assumptions!$E$53,Assumptions!$C$53*Assumptions!$D$53/12*(1+Assumptions!$F$53)^(AQ5-1),0)</f>
        <v>0</v>
      </c>
      <c r="AR15" s="14" t="n">
        <f aca="false">IF(AR4&gt;=Assumptions!$E$53,Assumptions!$C$53*Assumptions!$D$53/12*(1+Assumptions!$F$53)^(AR5-1),0)</f>
        <v>0</v>
      </c>
      <c r="AS15" s="14" t="n">
        <f aca="false">IF(AS4&gt;=Assumptions!$E$53,Assumptions!$C$53*Assumptions!$D$53/12*(1+Assumptions!$F$53)^(AS5-1),0)</f>
        <v>0</v>
      </c>
      <c r="AT15" s="14" t="n">
        <f aca="false">IF(AT4&gt;=Assumptions!$E$53,Assumptions!$C$53*Assumptions!$D$53/12*(1+Assumptions!$F$53)^(AT5-1),0)</f>
        <v>0</v>
      </c>
      <c r="AU15" s="14" t="n">
        <f aca="false">IF(AU4&gt;=Assumptions!$E$53,Assumptions!$C$53*Assumptions!$D$53/12*(1+Assumptions!$F$53)^(AU5-1),0)</f>
        <v>0</v>
      </c>
      <c r="AV15" s="14" t="n">
        <f aca="false">IF(AV4&gt;=Assumptions!$E$53,Assumptions!$C$53*Assumptions!$D$53/12*(1+Assumptions!$F$53)^(AV5-1),0)</f>
        <v>0</v>
      </c>
      <c r="AW15" s="14" t="n">
        <f aca="false">IF(AW4&gt;=Assumptions!$E$53,Assumptions!$C$53*Assumptions!$D$53/12*(1+Assumptions!$F$53)^(AW5-1),0)</f>
        <v>0</v>
      </c>
      <c r="AX15" s="14" t="n">
        <f aca="false">IF(AX4&gt;=Assumptions!$E$53,Assumptions!$C$53*Assumptions!$D$53/12*(1+Assumptions!$F$53)^(AX5-1),0)</f>
        <v>0</v>
      </c>
      <c r="AY15" s="14" t="n">
        <f aca="false">IF(AY4&gt;=Assumptions!$E$53,Assumptions!$C$53*Assumptions!$D$53/12*(1+Assumptions!$F$53)^(AY5-1),0)</f>
        <v>0</v>
      </c>
      <c r="AZ15" s="14" t="n">
        <f aca="false">IF(AZ4&gt;=Assumptions!$E$53,Assumptions!$C$53*Assumptions!$D$53/12*(1+Assumptions!$F$53)^(AZ5-1),0)</f>
        <v>0</v>
      </c>
      <c r="BA15" s="14" t="n">
        <f aca="false">IF(BA4&gt;=Assumptions!$E$53,Assumptions!$C$53*Assumptions!$D$53/12*(1+Assumptions!$F$53)^(BA5-1),0)</f>
        <v>0</v>
      </c>
      <c r="BB15" s="14" t="n">
        <f aca="false">IF(BB4&gt;=Assumptions!$E$53,Assumptions!$C$53*Assumptions!$D$53/12*(1+Assumptions!$F$53)^(BB5-1),0)</f>
        <v>0</v>
      </c>
      <c r="BC15" s="14" t="n">
        <f aca="false">IF(BC4&gt;=Assumptions!$E$53,Assumptions!$C$53*Assumptions!$D$53/12*(1+Assumptions!$F$53)^(BC5-1),0)</f>
        <v>0</v>
      </c>
      <c r="BD15" s="14" t="n">
        <f aca="false">IF(BD4&gt;=Assumptions!$E$53,Assumptions!$C$53*Assumptions!$D$53/12*(1+Assumptions!$F$53)^(BD5-1),0)</f>
        <v>0</v>
      </c>
      <c r="BE15" s="14" t="n">
        <f aca="false">IF(BE4&gt;=Assumptions!$E$53,Assumptions!$C$53*Assumptions!$D$53/12*(1+Assumptions!$F$53)^(BE5-1),0)</f>
        <v>0</v>
      </c>
      <c r="BF15" s="14" t="n">
        <f aca="false">IF(BF4&gt;=Assumptions!$E$53,Assumptions!$C$53*Assumptions!$D$53/12*(1+Assumptions!$F$53)^(BF5-1),0)</f>
        <v>0</v>
      </c>
      <c r="BG15" s="14" t="n">
        <f aca="false">IF(BG4&gt;=Assumptions!$E$53,Assumptions!$C$53*Assumptions!$D$53/12*(1+Assumptions!$F$53)^(BG5-1),0)</f>
        <v>0</v>
      </c>
      <c r="BH15" s="14" t="n">
        <f aca="false">IF(BH4&gt;=Assumptions!$E$53,Assumptions!$C$53*Assumptions!$D$53/12*(1+Assumptions!$F$53)^(BH5-1),0)</f>
        <v>0</v>
      </c>
      <c r="BI15" s="14" t="n">
        <f aca="false">IF(BI4&gt;=Assumptions!$E$53,Assumptions!$C$53*Assumptions!$D$53/12*(1+Assumptions!$F$53)^(BI5-1),0)</f>
        <v>0</v>
      </c>
      <c r="BJ15" s="14" t="n">
        <f aca="false">IF(BJ4&gt;=Assumptions!$E$53,Assumptions!$C$53*Assumptions!$D$53/12*(1+Assumptions!$F$53)^(BJ5-1),0)</f>
        <v>0</v>
      </c>
      <c r="BK15" s="43" t="n">
        <f aca="false">SUMIF($C$5:$BJ$5,BK$5,$C15:$BJ15)</f>
        <v>0</v>
      </c>
      <c r="BL15" s="43" t="n">
        <f aca="false">SUMIF($C$5:$BJ$5,BL$5,$C15:$BJ15)</f>
        <v>0</v>
      </c>
      <c r="BM15" s="43" t="n">
        <f aca="false">SUMIF($C$5:$BJ$5,BM$5,$C15:$BJ15)</f>
        <v>0</v>
      </c>
      <c r="BN15" s="43" t="n">
        <f aca="false">SUMIF($C$5:$BJ$5,BN$5,$C15:$BJ15)</f>
        <v>0</v>
      </c>
      <c r="BO15" s="43" t="n">
        <f aca="false">SUMIF($C$5:$BJ$5,BO$5,$C15:$BJ15)</f>
        <v>0</v>
      </c>
    </row>
    <row r="16" customFormat="false" ht="15" hidden="false" customHeight="false" outlineLevel="0" collapsed="false">
      <c r="A16" s="18" t="str">
        <f aca="false">"Role 9: "&amp;Assumptions!$B$54</f>
        <v>Role 9: Role 9 (not used)</v>
      </c>
      <c r="B16" s="2"/>
      <c r="C16" s="14" t="n">
        <f aca="false">IF(C4&gt;=Assumptions!$E$54,Assumptions!$C$54*Assumptions!$D$54/12*(1+Assumptions!$F$54)^(C5-1),0)</f>
        <v>0</v>
      </c>
      <c r="D16" s="14" t="n">
        <f aca="false">IF(D4&gt;=Assumptions!$E$54,Assumptions!$C$54*Assumptions!$D$54/12*(1+Assumptions!$F$54)^(D5-1),0)</f>
        <v>0</v>
      </c>
      <c r="E16" s="14" t="n">
        <f aca="false">IF(E4&gt;=Assumptions!$E$54,Assumptions!$C$54*Assumptions!$D$54/12*(1+Assumptions!$F$54)^(E5-1),0)</f>
        <v>0</v>
      </c>
      <c r="F16" s="14" t="n">
        <f aca="false">IF(F4&gt;=Assumptions!$E$54,Assumptions!$C$54*Assumptions!$D$54/12*(1+Assumptions!$F$54)^(F5-1),0)</f>
        <v>0</v>
      </c>
      <c r="G16" s="14" t="n">
        <f aca="false">IF(G4&gt;=Assumptions!$E$54,Assumptions!$C$54*Assumptions!$D$54/12*(1+Assumptions!$F$54)^(G5-1),0)</f>
        <v>0</v>
      </c>
      <c r="H16" s="14" t="n">
        <f aca="false">IF(H4&gt;=Assumptions!$E$54,Assumptions!$C$54*Assumptions!$D$54/12*(1+Assumptions!$F$54)^(H5-1),0)</f>
        <v>0</v>
      </c>
      <c r="I16" s="14" t="n">
        <f aca="false">IF(I4&gt;=Assumptions!$E$54,Assumptions!$C$54*Assumptions!$D$54/12*(1+Assumptions!$F$54)^(I5-1),0)</f>
        <v>0</v>
      </c>
      <c r="J16" s="14" t="n">
        <f aca="false">IF(J4&gt;=Assumptions!$E$54,Assumptions!$C$54*Assumptions!$D$54/12*(1+Assumptions!$F$54)^(J5-1),0)</f>
        <v>0</v>
      </c>
      <c r="K16" s="14" t="n">
        <f aca="false">IF(K4&gt;=Assumptions!$E$54,Assumptions!$C$54*Assumptions!$D$54/12*(1+Assumptions!$F$54)^(K5-1),0)</f>
        <v>0</v>
      </c>
      <c r="L16" s="14" t="n">
        <f aca="false">IF(L4&gt;=Assumptions!$E$54,Assumptions!$C$54*Assumptions!$D$54/12*(1+Assumptions!$F$54)^(L5-1),0)</f>
        <v>0</v>
      </c>
      <c r="M16" s="14" t="n">
        <f aca="false">IF(M4&gt;=Assumptions!$E$54,Assumptions!$C$54*Assumptions!$D$54/12*(1+Assumptions!$F$54)^(M5-1),0)</f>
        <v>0</v>
      </c>
      <c r="N16" s="14" t="n">
        <f aca="false">IF(N4&gt;=Assumptions!$E$54,Assumptions!$C$54*Assumptions!$D$54/12*(1+Assumptions!$F$54)^(N5-1),0)</f>
        <v>0</v>
      </c>
      <c r="O16" s="14" t="n">
        <f aca="false">IF(O4&gt;=Assumptions!$E$54,Assumptions!$C$54*Assumptions!$D$54/12*(1+Assumptions!$F$54)^(O5-1),0)</f>
        <v>0</v>
      </c>
      <c r="P16" s="14" t="n">
        <f aca="false">IF(P4&gt;=Assumptions!$E$54,Assumptions!$C$54*Assumptions!$D$54/12*(1+Assumptions!$F$54)^(P5-1),0)</f>
        <v>0</v>
      </c>
      <c r="Q16" s="14" t="n">
        <f aca="false">IF(Q4&gt;=Assumptions!$E$54,Assumptions!$C$54*Assumptions!$D$54/12*(1+Assumptions!$F$54)^(Q5-1),0)</f>
        <v>0</v>
      </c>
      <c r="R16" s="14" t="n">
        <f aca="false">IF(R4&gt;=Assumptions!$E$54,Assumptions!$C$54*Assumptions!$D$54/12*(1+Assumptions!$F$54)^(R5-1),0)</f>
        <v>0</v>
      </c>
      <c r="S16" s="14" t="n">
        <f aca="false">IF(S4&gt;=Assumptions!$E$54,Assumptions!$C$54*Assumptions!$D$54/12*(1+Assumptions!$F$54)^(S5-1),0)</f>
        <v>0</v>
      </c>
      <c r="T16" s="14" t="n">
        <f aca="false">IF(T4&gt;=Assumptions!$E$54,Assumptions!$C$54*Assumptions!$D$54/12*(1+Assumptions!$F$54)^(T5-1),0)</f>
        <v>0</v>
      </c>
      <c r="U16" s="14" t="n">
        <f aca="false">IF(U4&gt;=Assumptions!$E$54,Assumptions!$C$54*Assumptions!$D$54/12*(1+Assumptions!$F$54)^(U5-1),0)</f>
        <v>0</v>
      </c>
      <c r="V16" s="14" t="n">
        <f aca="false">IF(V4&gt;=Assumptions!$E$54,Assumptions!$C$54*Assumptions!$D$54/12*(1+Assumptions!$F$54)^(V5-1),0)</f>
        <v>0</v>
      </c>
      <c r="W16" s="14" t="n">
        <f aca="false">IF(W4&gt;=Assumptions!$E$54,Assumptions!$C$54*Assumptions!$D$54/12*(1+Assumptions!$F$54)^(W5-1),0)</f>
        <v>0</v>
      </c>
      <c r="X16" s="14" t="n">
        <f aca="false">IF(X4&gt;=Assumptions!$E$54,Assumptions!$C$54*Assumptions!$D$54/12*(1+Assumptions!$F$54)^(X5-1),0)</f>
        <v>0</v>
      </c>
      <c r="Y16" s="14" t="n">
        <f aca="false">IF(Y4&gt;=Assumptions!$E$54,Assumptions!$C$54*Assumptions!$D$54/12*(1+Assumptions!$F$54)^(Y5-1),0)</f>
        <v>0</v>
      </c>
      <c r="Z16" s="14" t="n">
        <f aca="false">IF(Z4&gt;=Assumptions!$E$54,Assumptions!$C$54*Assumptions!$D$54/12*(1+Assumptions!$F$54)^(Z5-1),0)</f>
        <v>0</v>
      </c>
      <c r="AA16" s="14" t="n">
        <f aca="false">IF(AA4&gt;=Assumptions!$E$54,Assumptions!$C$54*Assumptions!$D$54/12*(1+Assumptions!$F$54)^(AA5-1),0)</f>
        <v>0</v>
      </c>
      <c r="AB16" s="14" t="n">
        <f aca="false">IF(AB4&gt;=Assumptions!$E$54,Assumptions!$C$54*Assumptions!$D$54/12*(1+Assumptions!$F$54)^(AB5-1),0)</f>
        <v>0</v>
      </c>
      <c r="AC16" s="14" t="n">
        <f aca="false">IF(AC4&gt;=Assumptions!$E$54,Assumptions!$C$54*Assumptions!$D$54/12*(1+Assumptions!$F$54)^(AC5-1),0)</f>
        <v>0</v>
      </c>
      <c r="AD16" s="14" t="n">
        <f aca="false">IF(AD4&gt;=Assumptions!$E$54,Assumptions!$C$54*Assumptions!$D$54/12*(1+Assumptions!$F$54)^(AD5-1),0)</f>
        <v>0</v>
      </c>
      <c r="AE16" s="14" t="n">
        <f aca="false">IF(AE4&gt;=Assumptions!$E$54,Assumptions!$C$54*Assumptions!$D$54/12*(1+Assumptions!$F$54)^(AE5-1),0)</f>
        <v>0</v>
      </c>
      <c r="AF16" s="14" t="n">
        <f aca="false">IF(AF4&gt;=Assumptions!$E$54,Assumptions!$C$54*Assumptions!$D$54/12*(1+Assumptions!$F$54)^(AF5-1),0)</f>
        <v>0</v>
      </c>
      <c r="AG16" s="14" t="n">
        <f aca="false">IF(AG4&gt;=Assumptions!$E$54,Assumptions!$C$54*Assumptions!$D$54/12*(1+Assumptions!$F$54)^(AG5-1),0)</f>
        <v>0</v>
      </c>
      <c r="AH16" s="14" t="n">
        <f aca="false">IF(AH4&gt;=Assumptions!$E$54,Assumptions!$C$54*Assumptions!$D$54/12*(1+Assumptions!$F$54)^(AH5-1),0)</f>
        <v>0</v>
      </c>
      <c r="AI16" s="14" t="n">
        <f aca="false">IF(AI4&gt;=Assumptions!$E$54,Assumptions!$C$54*Assumptions!$D$54/12*(1+Assumptions!$F$54)^(AI5-1),0)</f>
        <v>0</v>
      </c>
      <c r="AJ16" s="14" t="n">
        <f aca="false">IF(AJ4&gt;=Assumptions!$E$54,Assumptions!$C$54*Assumptions!$D$54/12*(1+Assumptions!$F$54)^(AJ5-1),0)</f>
        <v>0</v>
      </c>
      <c r="AK16" s="14" t="n">
        <f aca="false">IF(AK4&gt;=Assumptions!$E$54,Assumptions!$C$54*Assumptions!$D$54/12*(1+Assumptions!$F$54)^(AK5-1),0)</f>
        <v>0</v>
      </c>
      <c r="AL16" s="14" t="n">
        <f aca="false">IF(AL4&gt;=Assumptions!$E$54,Assumptions!$C$54*Assumptions!$D$54/12*(1+Assumptions!$F$54)^(AL5-1),0)</f>
        <v>0</v>
      </c>
      <c r="AM16" s="14" t="n">
        <f aca="false">IF(AM4&gt;=Assumptions!$E$54,Assumptions!$C$54*Assumptions!$D$54/12*(1+Assumptions!$F$54)^(AM5-1),0)</f>
        <v>0</v>
      </c>
      <c r="AN16" s="14" t="n">
        <f aca="false">IF(AN4&gt;=Assumptions!$E$54,Assumptions!$C$54*Assumptions!$D$54/12*(1+Assumptions!$F$54)^(AN5-1),0)</f>
        <v>0</v>
      </c>
      <c r="AO16" s="14" t="n">
        <f aca="false">IF(AO4&gt;=Assumptions!$E$54,Assumptions!$C$54*Assumptions!$D$54/12*(1+Assumptions!$F$54)^(AO5-1),0)</f>
        <v>0</v>
      </c>
      <c r="AP16" s="14" t="n">
        <f aca="false">IF(AP4&gt;=Assumptions!$E$54,Assumptions!$C$54*Assumptions!$D$54/12*(1+Assumptions!$F$54)^(AP5-1),0)</f>
        <v>0</v>
      </c>
      <c r="AQ16" s="14" t="n">
        <f aca="false">IF(AQ4&gt;=Assumptions!$E$54,Assumptions!$C$54*Assumptions!$D$54/12*(1+Assumptions!$F$54)^(AQ5-1),0)</f>
        <v>0</v>
      </c>
      <c r="AR16" s="14" t="n">
        <f aca="false">IF(AR4&gt;=Assumptions!$E$54,Assumptions!$C$54*Assumptions!$D$54/12*(1+Assumptions!$F$54)^(AR5-1),0)</f>
        <v>0</v>
      </c>
      <c r="AS16" s="14" t="n">
        <f aca="false">IF(AS4&gt;=Assumptions!$E$54,Assumptions!$C$54*Assumptions!$D$54/12*(1+Assumptions!$F$54)^(AS5-1),0)</f>
        <v>0</v>
      </c>
      <c r="AT16" s="14" t="n">
        <f aca="false">IF(AT4&gt;=Assumptions!$E$54,Assumptions!$C$54*Assumptions!$D$54/12*(1+Assumptions!$F$54)^(AT5-1),0)</f>
        <v>0</v>
      </c>
      <c r="AU16" s="14" t="n">
        <f aca="false">IF(AU4&gt;=Assumptions!$E$54,Assumptions!$C$54*Assumptions!$D$54/12*(1+Assumptions!$F$54)^(AU5-1),0)</f>
        <v>0</v>
      </c>
      <c r="AV16" s="14" t="n">
        <f aca="false">IF(AV4&gt;=Assumptions!$E$54,Assumptions!$C$54*Assumptions!$D$54/12*(1+Assumptions!$F$54)^(AV5-1),0)</f>
        <v>0</v>
      </c>
      <c r="AW16" s="14" t="n">
        <f aca="false">IF(AW4&gt;=Assumptions!$E$54,Assumptions!$C$54*Assumptions!$D$54/12*(1+Assumptions!$F$54)^(AW5-1),0)</f>
        <v>0</v>
      </c>
      <c r="AX16" s="14" t="n">
        <f aca="false">IF(AX4&gt;=Assumptions!$E$54,Assumptions!$C$54*Assumptions!$D$54/12*(1+Assumptions!$F$54)^(AX5-1),0)</f>
        <v>0</v>
      </c>
      <c r="AY16" s="14" t="n">
        <f aca="false">IF(AY4&gt;=Assumptions!$E$54,Assumptions!$C$54*Assumptions!$D$54/12*(1+Assumptions!$F$54)^(AY5-1),0)</f>
        <v>0</v>
      </c>
      <c r="AZ16" s="14" t="n">
        <f aca="false">IF(AZ4&gt;=Assumptions!$E$54,Assumptions!$C$54*Assumptions!$D$54/12*(1+Assumptions!$F$54)^(AZ5-1),0)</f>
        <v>0</v>
      </c>
      <c r="BA16" s="14" t="n">
        <f aca="false">IF(BA4&gt;=Assumptions!$E$54,Assumptions!$C$54*Assumptions!$D$54/12*(1+Assumptions!$F$54)^(BA5-1),0)</f>
        <v>0</v>
      </c>
      <c r="BB16" s="14" t="n">
        <f aca="false">IF(BB4&gt;=Assumptions!$E$54,Assumptions!$C$54*Assumptions!$D$54/12*(1+Assumptions!$F$54)^(BB5-1),0)</f>
        <v>0</v>
      </c>
      <c r="BC16" s="14" t="n">
        <f aca="false">IF(BC4&gt;=Assumptions!$E$54,Assumptions!$C$54*Assumptions!$D$54/12*(1+Assumptions!$F$54)^(BC5-1),0)</f>
        <v>0</v>
      </c>
      <c r="BD16" s="14" t="n">
        <f aca="false">IF(BD4&gt;=Assumptions!$E$54,Assumptions!$C$54*Assumptions!$D$54/12*(1+Assumptions!$F$54)^(BD5-1),0)</f>
        <v>0</v>
      </c>
      <c r="BE16" s="14" t="n">
        <f aca="false">IF(BE4&gt;=Assumptions!$E$54,Assumptions!$C$54*Assumptions!$D$54/12*(1+Assumptions!$F$54)^(BE5-1),0)</f>
        <v>0</v>
      </c>
      <c r="BF16" s="14" t="n">
        <f aca="false">IF(BF4&gt;=Assumptions!$E$54,Assumptions!$C$54*Assumptions!$D$54/12*(1+Assumptions!$F$54)^(BF5-1),0)</f>
        <v>0</v>
      </c>
      <c r="BG16" s="14" t="n">
        <f aca="false">IF(BG4&gt;=Assumptions!$E$54,Assumptions!$C$54*Assumptions!$D$54/12*(1+Assumptions!$F$54)^(BG5-1),0)</f>
        <v>0</v>
      </c>
      <c r="BH16" s="14" t="n">
        <f aca="false">IF(BH4&gt;=Assumptions!$E$54,Assumptions!$C$54*Assumptions!$D$54/12*(1+Assumptions!$F$54)^(BH5-1),0)</f>
        <v>0</v>
      </c>
      <c r="BI16" s="14" t="n">
        <f aca="false">IF(BI4&gt;=Assumptions!$E$54,Assumptions!$C$54*Assumptions!$D$54/12*(1+Assumptions!$F$54)^(BI5-1),0)</f>
        <v>0</v>
      </c>
      <c r="BJ16" s="14" t="n">
        <f aca="false">IF(BJ4&gt;=Assumptions!$E$54,Assumptions!$C$54*Assumptions!$D$54/12*(1+Assumptions!$F$54)^(BJ5-1),0)</f>
        <v>0</v>
      </c>
      <c r="BK16" s="43" t="n">
        <f aca="false">SUMIF($C$5:$BJ$5,BK$5,$C16:$BJ16)</f>
        <v>0</v>
      </c>
      <c r="BL16" s="43" t="n">
        <f aca="false">SUMIF($C$5:$BJ$5,BL$5,$C16:$BJ16)</f>
        <v>0</v>
      </c>
      <c r="BM16" s="43" t="n">
        <f aca="false">SUMIF($C$5:$BJ$5,BM$5,$C16:$BJ16)</f>
        <v>0</v>
      </c>
      <c r="BN16" s="43" t="n">
        <f aca="false">SUMIF($C$5:$BJ$5,BN$5,$C16:$BJ16)</f>
        <v>0</v>
      </c>
      <c r="BO16" s="43" t="n">
        <f aca="false">SUMIF($C$5:$BJ$5,BO$5,$C16:$BJ16)</f>
        <v>0</v>
      </c>
    </row>
    <row r="17" customFormat="false" ht="15" hidden="false" customHeight="false" outlineLevel="0" collapsed="false">
      <c r="A17" s="18" t="str">
        <f aca="false">"Role 10: "&amp;Assumptions!$B$55</f>
        <v>Role 10: Role 10 (not used)</v>
      </c>
      <c r="B17" s="2"/>
      <c r="C17" s="14" t="n">
        <f aca="false">IF(C4&gt;=Assumptions!$E$55,Assumptions!$C$55*Assumptions!$D$55/12*(1+Assumptions!$F$55)^(C5-1),0)</f>
        <v>0</v>
      </c>
      <c r="D17" s="14" t="n">
        <f aca="false">IF(D4&gt;=Assumptions!$E$55,Assumptions!$C$55*Assumptions!$D$55/12*(1+Assumptions!$F$55)^(D5-1),0)</f>
        <v>0</v>
      </c>
      <c r="E17" s="14" t="n">
        <f aca="false">IF(E4&gt;=Assumptions!$E$55,Assumptions!$C$55*Assumptions!$D$55/12*(1+Assumptions!$F$55)^(E5-1),0)</f>
        <v>0</v>
      </c>
      <c r="F17" s="14" t="n">
        <f aca="false">IF(F4&gt;=Assumptions!$E$55,Assumptions!$C$55*Assumptions!$D$55/12*(1+Assumptions!$F$55)^(F5-1),0)</f>
        <v>0</v>
      </c>
      <c r="G17" s="14" t="n">
        <f aca="false">IF(G4&gt;=Assumptions!$E$55,Assumptions!$C$55*Assumptions!$D$55/12*(1+Assumptions!$F$55)^(G5-1),0)</f>
        <v>0</v>
      </c>
      <c r="H17" s="14" t="n">
        <f aca="false">IF(H4&gt;=Assumptions!$E$55,Assumptions!$C$55*Assumptions!$D$55/12*(1+Assumptions!$F$55)^(H5-1),0)</f>
        <v>0</v>
      </c>
      <c r="I17" s="14" t="n">
        <f aca="false">IF(I4&gt;=Assumptions!$E$55,Assumptions!$C$55*Assumptions!$D$55/12*(1+Assumptions!$F$55)^(I5-1),0)</f>
        <v>0</v>
      </c>
      <c r="J17" s="14" t="n">
        <f aca="false">IF(J4&gt;=Assumptions!$E$55,Assumptions!$C$55*Assumptions!$D$55/12*(1+Assumptions!$F$55)^(J5-1),0)</f>
        <v>0</v>
      </c>
      <c r="K17" s="14" t="n">
        <f aca="false">IF(K4&gt;=Assumptions!$E$55,Assumptions!$C$55*Assumptions!$D$55/12*(1+Assumptions!$F$55)^(K5-1),0)</f>
        <v>0</v>
      </c>
      <c r="L17" s="14" t="n">
        <f aca="false">IF(L4&gt;=Assumptions!$E$55,Assumptions!$C$55*Assumptions!$D$55/12*(1+Assumptions!$F$55)^(L5-1),0)</f>
        <v>0</v>
      </c>
      <c r="M17" s="14" t="n">
        <f aca="false">IF(M4&gt;=Assumptions!$E$55,Assumptions!$C$55*Assumptions!$D$55/12*(1+Assumptions!$F$55)^(M5-1),0)</f>
        <v>0</v>
      </c>
      <c r="N17" s="14" t="n">
        <f aca="false">IF(N4&gt;=Assumptions!$E$55,Assumptions!$C$55*Assumptions!$D$55/12*(1+Assumptions!$F$55)^(N5-1),0)</f>
        <v>0</v>
      </c>
      <c r="O17" s="14" t="n">
        <f aca="false">IF(O4&gt;=Assumptions!$E$55,Assumptions!$C$55*Assumptions!$D$55/12*(1+Assumptions!$F$55)^(O5-1),0)</f>
        <v>0</v>
      </c>
      <c r="P17" s="14" t="n">
        <f aca="false">IF(P4&gt;=Assumptions!$E$55,Assumptions!$C$55*Assumptions!$D$55/12*(1+Assumptions!$F$55)^(P5-1),0)</f>
        <v>0</v>
      </c>
      <c r="Q17" s="14" t="n">
        <f aca="false">IF(Q4&gt;=Assumptions!$E$55,Assumptions!$C$55*Assumptions!$D$55/12*(1+Assumptions!$F$55)^(Q5-1),0)</f>
        <v>0</v>
      </c>
      <c r="R17" s="14" t="n">
        <f aca="false">IF(R4&gt;=Assumptions!$E$55,Assumptions!$C$55*Assumptions!$D$55/12*(1+Assumptions!$F$55)^(R5-1),0)</f>
        <v>0</v>
      </c>
      <c r="S17" s="14" t="n">
        <f aca="false">IF(S4&gt;=Assumptions!$E$55,Assumptions!$C$55*Assumptions!$D$55/12*(1+Assumptions!$F$55)^(S5-1),0)</f>
        <v>0</v>
      </c>
      <c r="T17" s="14" t="n">
        <f aca="false">IF(T4&gt;=Assumptions!$E$55,Assumptions!$C$55*Assumptions!$D$55/12*(1+Assumptions!$F$55)^(T5-1),0)</f>
        <v>0</v>
      </c>
      <c r="U17" s="14" t="n">
        <f aca="false">IF(U4&gt;=Assumptions!$E$55,Assumptions!$C$55*Assumptions!$D$55/12*(1+Assumptions!$F$55)^(U5-1),0)</f>
        <v>0</v>
      </c>
      <c r="V17" s="14" t="n">
        <f aca="false">IF(V4&gt;=Assumptions!$E$55,Assumptions!$C$55*Assumptions!$D$55/12*(1+Assumptions!$F$55)^(V5-1),0)</f>
        <v>0</v>
      </c>
      <c r="W17" s="14" t="n">
        <f aca="false">IF(W4&gt;=Assumptions!$E$55,Assumptions!$C$55*Assumptions!$D$55/12*(1+Assumptions!$F$55)^(W5-1),0)</f>
        <v>0</v>
      </c>
      <c r="X17" s="14" t="n">
        <f aca="false">IF(X4&gt;=Assumptions!$E$55,Assumptions!$C$55*Assumptions!$D$55/12*(1+Assumptions!$F$55)^(X5-1),0)</f>
        <v>0</v>
      </c>
      <c r="Y17" s="14" t="n">
        <f aca="false">IF(Y4&gt;=Assumptions!$E$55,Assumptions!$C$55*Assumptions!$D$55/12*(1+Assumptions!$F$55)^(Y5-1),0)</f>
        <v>0</v>
      </c>
      <c r="Z17" s="14" t="n">
        <f aca="false">IF(Z4&gt;=Assumptions!$E$55,Assumptions!$C$55*Assumptions!$D$55/12*(1+Assumptions!$F$55)^(Z5-1),0)</f>
        <v>0</v>
      </c>
      <c r="AA17" s="14" t="n">
        <f aca="false">IF(AA4&gt;=Assumptions!$E$55,Assumptions!$C$55*Assumptions!$D$55/12*(1+Assumptions!$F$55)^(AA5-1),0)</f>
        <v>0</v>
      </c>
      <c r="AB17" s="14" t="n">
        <f aca="false">IF(AB4&gt;=Assumptions!$E$55,Assumptions!$C$55*Assumptions!$D$55/12*(1+Assumptions!$F$55)^(AB5-1),0)</f>
        <v>0</v>
      </c>
      <c r="AC17" s="14" t="n">
        <f aca="false">IF(AC4&gt;=Assumptions!$E$55,Assumptions!$C$55*Assumptions!$D$55/12*(1+Assumptions!$F$55)^(AC5-1),0)</f>
        <v>0</v>
      </c>
      <c r="AD17" s="14" t="n">
        <f aca="false">IF(AD4&gt;=Assumptions!$E$55,Assumptions!$C$55*Assumptions!$D$55/12*(1+Assumptions!$F$55)^(AD5-1),0)</f>
        <v>0</v>
      </c>
      <c r="AE17" s="14" t="n">
        <f aca="false">IF(AE4&gt;=Assumptions!$E$55,Assumptions!$C$55*Assumptions!$D$55/12*(1+Assumptions!$F$55)^(AE5-1),0)</f>
        <v>0</v>
      </c>
      <c r="AF17" s="14" t="n">
        <f aca="false">IF(AF4&gt;=Assumptions!$E$55,Assumptions!$C$55*Assumptions!$D$55/12*(1+Assumptions!$F$55)^(AF5-1),0)</f>
        <v>0</v>
      </c>
      <c r="AG17" s="14" t="n">
        <f aca="false">IF(AG4&gt;=Assumptions!$E$55,Assumptions!$C$55*Assumptions!$D$55/12*(1+Assumptions!$F$55)^(AG5-1),0)</f>
        <v>0</v>
      </c>
      <c r="AH17" s="14" t="n">
        <f aca="false">IF(AH4&gt;=Assumptions!$E$55,Assumptions!$C$55*Assumptions!$D$55/12*(1+Assumptions!$F$55)^(AH5-1),0)</f>
        <v>0</v>
      </c>
      <c r="AI17" s="14" t="n">
        <f aca="false">IF(AI4&gt;=Assumptions!$E$55,Assumptions!$C$55*Assumptions!$D$55/12*(1+Assumptions!$F$55)^(AI5-1),0)</f>
        <v>0</v>
      </c>
      <c r="AJ17" s="14" t="n">
        <f aca="false">IF(AJ4&gt;=Assumptions!$E$55,Assumptions!$C$55*Assumptions!$D$55/12*(1+Assumptions!$F$55)^(AJ5-1),0)</f>
        <v>0</v>
      </c>
      <c r="AK17" s="14" t="n">
        <f aca="false">IF(AK4&gt;=Assumptions!$E$55,Assumptions!$C$55*Assumptions!$D$55/12*(1+Assumptions!$F$55)^(AK5-1),0)</f>
        <v>0</v>
      </c>
      <c r="AL17" s="14" t="n">
        <f aca="false">IF(AL4&gt;=Assumptions!$E$55,Assumptions!$C$55*Assumptions!$D$55/12*(1+Assumptions!$F$55)^(AL5-1),0)</f>
        <v>0</v>
      </c>
      <c r="AM17" s="14" t="n">
        <f aca="false">IF(AM4&gt;=Assumptions!$E$55,Assumptions!$C$55*Assumptions!$D$55/12*(1+Assumptions!$F$55)^(AM5-1),0)</f>
        <v>0</v>
      </c>
      <c r="AN17" s="14" t="n">
        <f aca="false">IF(AN4&gt;=Assumptions!$E$55,Assumptions!$C$55*Assumptions!$D$55/12*(1+Assumptions!$F$55)^(AN5-1),0)</f>
        <v>0</v>
      </c>
      <c r="AO17" s="14" t="n">
        <f aca="false">IF(AO4&gt;=Assumptions!$E$55,Assumptions!$C$55*Assumptions!$D$55/12*(1+Assumptions!$F$55)^(AO5-1),0)</f>
        <v>0</v>
      </c>
      <c r="AP17" s="14" t="n">
        <f aca="false">IF(AP4&gt;=Assumptions!$E$55,Assumptions!$C$55*Assumptions!$D$55/12*(1+Assumptions!$F$55)^(AP5-1),0)</f>
        <v>0</v>
      </c>
      <c r="AQ17" s="14" t="n">
        <f aca="false">IF(AQ4&gt;=Assumptions!$E$55,Assumptions!$C$55*Assumptions!$D$55/12*(1+Assumptions!$F$55)^(AQ5-1),0)</f>
        <v>0</v>
      </c>
      <c r="AR17" s="14" t="n">
        <f aca="false">IF(AR4&gt;=Assumptions!$E$55,Assumptions!$C$55*Assumptions!$D$55/12*(1+Assumptions!$F$55)^(AR5-1),0)</f>
        <v>0</v>
      </c>
      <c r="AS17" s="14" t="n">
        <f aca="false">IF(AS4&gt;=Assumptions!$E$55,Assumptions!$C$55*Assumptions!$D$55/12*(1+Assumptions!$F$55)^(AS5-1),0)</f>
        <v>0</v>
      </c>
      <c r="AT17" s="14" t="n">
        <f aca="false">IF(AT4&gt;=Assumptions!$E$55,Assumptions!$C$55*Assumptions!$D$55/12*(1+Assumptions!$F$55)^(AT5-1),0)</f>
        <v>0</v>
      </c>
      <c r="AU17" s="14" t="n">
        <f aca="false">IF(AU4&gt;=Assumptions!$E$55,Assumptions!$C$55*Assumptions!$D$55/12*(1+Assumptions!$F$55)^(AU5-1),0)</f>
        <v>0</v>
      </c>
      <c r="AV17" s="14" t="n">
        <f aca="false">IF(AV4&gt;=Assumptions!$E$55,Assumptions!$C$55*Assumptions!$D$55/12*(1+Assumptions!$F$55)^(AV5-1),0)</f>
        <v>0</v>
      </c>
      <c r="AW17" s="14" t="n">
        <f aca="false">IF(AW4&gt;=Assumptions!$E$55,Assumptions!$C$55*Assumptions!$D$55/12*(1+Assumptions!$F$55)^(AW5-1),0)</f>
        <v>0</v>
      </c>
      <c r="AX17" s="14" t="n">
        <f aca="false">IF(AX4&gt;=Assumptions!$E$55,Assumptions!$C$55*Assumptions!$D$55/12*(1+Assumptions!$F$55)^(AX5-1),0)</f>
        <v>0</v>
      </c>
      <c r="AY17" s="14" t="n">
        <f aca="false">IF(AY4&gt;=Assumptions!$E$55,Assumptions!$C$55*Assumptions!$D$55/12*(1+Assumptions!$F$55)^(AY5-1),0)</f>
        <v>0</v>
      </c>
      <c r="AZ17" s="14" t="n">
        <f aca="false">IF(AZ4&gt;=Assumptions!$E$55,Assumptions!$C$55*Assumptions!$D$55/12*(1+Assumptions!$F$55)^(AZ5-1),0)</f>
        <v>0</v>
      </c>
      <c r="BA17" s="14" t="n">
        <f aca="false">IF(BA4&gt;=Assumptions!$E$55,Assumptions!$C$55*Assumptions!$D$55/12*(1+Assumptions!$F$55)^(BA5-1),0)</f>
        <v>0</v>
      </c>
      <c r="BB17" s="14" t="n">
        <f aca="false">IF(BB4&gt;=Assumptions!$E$55,Assumptions!$C$55*Assumptions!$D$55/12*(1+Assumptions!$F$55)^(BB5-1),0)</f>
        <v>0</v>
      </c>
      <c r="BC17" s="14" t="n">
        <f aca="false">IF(BC4&gt;=Assumptions!$E$55,Assumptions!$C$55*Assumptions!$D$55/12*(1+Assumptions!$F$55)^(BC5-1),0)</f>
        <v>0</v>
      </c>
      <c r="BD17" s="14" t="n">
        <f aca="false">IF(BD4&gt;=Assumptions!$E$55,Assumptions!$C$55*Assumptions!$D$55/12*(1+Assumptions!$F$55)^(BD5-1),0)</f>
        <v>0</v>
      </c>
      <c r="BE17" s="14" t="n">
        <f aca="false">IF(BE4&gt;=Assumptions!$E$55,Assumptions!$C$55*Assumptions!$D$55/12*(1+Assumptions!$F$55)^(BE5-1),0)</f>
        <v>0</v>
      </c>
      <c r="BF17" s="14" t="n">
        <f aca="false">IF(BF4&gt;=Assumptions!$E$55,Assumptions!$C$55*Assumptions!$D$55/12*(1+Assumptions!$F$55)^(BF5-1),0)</f>
        <v>0</v>
      </c>
      <c r="BG17" s="14" t="n">
        <f aca="false">IF(BG4&gt;=Assumptions!$E$55,Assumptions!$C$55*Assumptions!$D$55/12*(1+Assumptions!$F$55)^(BG5-1),0)</f>
        <v>0</v>
      </c>
      <c r="BH17" s="14" t="n">
        <f aca="false">IF(BH4&gt;=Assumptions!$E$55,Assumptions!$C$55*Assumptions!$D$55/12*(1+Assumptions!$F$55)^(BH5-1),0)</f>
        <v>0</v>
      </c>
      <c r="BI17" s="14" t="n">
        <f aca="false">IF(BI4&gt;=Assumptions!$E$55,Assumptions!$C$55*Assumptions!$D$55/12*(1+Assumptions!$F$55)^(BI5-1),0)</f>
        <v>0</v>
      </c>
      <c r="BJ17" s="14" t="n">
        <f aca="false">IF(BJ4&gt;=Assumptions!$E$55,Assumptions!$C$55*Assumptions!$D$55/12*(1+Assumptions!$F$55)^(BJ5-1),0)</f>
        <v>0</v>
      </c>
      <c r="BK17" s="43" t="n">
        <f aca="false">SUMIF($C$5:$BJ$5,BK$5,$C17:$BJ17)</f>
        <v>0</v>
      </c>
      <c r="BL17" s="43" t="n">
        <f aca="false">SUMIF($C$5:$BJ$5,BL$5,$C17:$BJ17)</f>
        <v>0</v>
      </c>
      <c r="BM17" s="43" t="n">
        <f aca="false">SUMIF($C$5:$BJ$5,BM$5,$C17:$BJ17)</f>
        <v>0</v>
      </c>
      <c r="BN17" s="43" t="n">
        <f aca="false">SUMIF($C$5:$BJ$5,BN$5,$C17:$BJ17)</f>
        <v>0</v>
      </c>
      <c r="BO17" s="43" t="n">
        <f aca="false">SUMIF($C$5:$BJ$5,BO$5,$C17:$BJ17)</f>
        <v>0</v>
      </c>
    </row>
    <row r="18" customFormat="false" ht="15" hidden="false" customHeight="false" outlineLevel="0" collapsed="false">
      <c r="A18" s="39" t="s">
        <v>239</v>
      </c>
      <c r="B18" s="40"/>
      <c r="C18" s="41" t="n">
        <f aca="false">SUM(C8:C17)</f>
        <v>10833.3333333333</v>
      </c>
      <c r="D18" s="41" t="n">
        <f aca="false">SUM(D8:D17)</f>
        <v>10833.3333333333</v>
      </c>
      <c r="E18" s="41" t="n">
        <f aca="false">SUM(E8:E17)</f>
        <v>10833.3333333333</v>
      </c>
      <c r="F18" s="41" t="n">
        <f aca="false">SUM(F8:F17)</f>
        <v>10833.3333333333</v>
      </c>
      <c r="G18" s="41" t="n">
        <f aca="false">SUM(G8:G17)</f>
        <v>10833.3333333333</v>
      </c>
      <c r="H18" s="41" t="n">
        <f aca="false">SUM(H8:H17)</f>
        <v>10833.3333333333</v>
      </c>
      <c r="I18" s="41" t="n">
        <f aca="false">SUM(I8:I17)</f>
        <v>13666.6666666667</v>
      </c>
      <c r="J18" s="41" t="n">
        <f aca="false">SUM(J8:J17)</f>
        <v>13666.6666666667</v>
      </c>
      <c r="K18" s="41" t="n">
        <f aca="false">SUM(K8:K17)</f>
        <v>13666.6666666667</v>
      </c>
      <c r="L18" s="41" t="n">
        <f aca="false">SUM(L8:L17)</f>
        <v>13666.6666666667</v>
      </c>
      <c r="M18" s="41" t="n">
        <f aca="false">SUM(M8:M17)</f>
        <v>13666.6666666667</v>
      </c>
      <c r="N18" s="41" t="n">
        <f aca="false">SUM(N8:N17)</f>
        <v>13666.6666666667</v>
      </c>
      <c r="O18" s="41" t="n">
        <f aca="false">SUM(O8:O17)</f>
        <v>14076.6666666667</v>
      </c>
      <c r="P18" s="41" t="n">
        <f aca="false">SUM(P8:P17)</f>
        <v>14076.6666666667</v>
      </c>
      <c r="Q18" s="41" t="n">
        <f aca="false">SUM(Q8:Q17)</f>
        <v>14076.6666666667</v>
      </c>
      <c r="R18" s="41" t="n">
        <f aca="false">SUM(R8:R17)</f>
        <v>14076.6666666667</v>
      </c>
      <c r="S18" s="41" t="n">
        <f aca="false">SUM(S8:S17)</f>
        <v>14076.6666666667</v>
      </c>
      <c r="T18" s="41" t="n">
        <f aca="false">SUM(T8:T17)</f>
        <v>14076.6666666667</v>
      </c>
      <c r="U18" s="41" t="n">
        <f aca="false">SUM(U8:U17)</f>
        <v>14076.6666666667</v>
      </c>
      <c r="V18" s="41" t="n">
        <f aca="false">SUM(V8:V17)</f>
        <v>14076.6666666667</v>
      </c>
      <c r="W18" s="41" t="n">
        <f aca="false">SUM(W8:W17)</f>
        <v>14076.6666666667</v>
      </c>
      <c r="X18" s="41" t="n">
        <f aca="false">SUM(X8:X17)</f>
        <v>14076.6666666667</v>
      </c>
      <c r="Y18" s="41" t="n">
        <f aca="false">SUM(Y8:Y17)</f>
        <v>14076.6666666667</v>
      </c>
      <c r="Z18" s="41" t="n">
        <f aca="false">SUM(Z8:Z17)</f>
        <v>14076.6666666667</v>
      </c>
      <c r="AA18" s="41" t="n">
        <f aca="false">SUM(AA8:AA17)</f>
        <v>18035.3</v>
      </c>
      <c r="AB18" s="41" t="n">
        <f aca="false">SUM(AB8:AB17)</f>
        <v>18035.3</v>
      </c>
      <c r="AC18" s="41" t="n">
        <f aca="false">SUM(AC8:AC17)</f>
        <v>18035.3</v>
      </c>
      <c r="AD18" s="41" t="n">
        <f aca="false">SUM(AD8:AD17)</f>
        <v>18035.3</v>
      </c>
      <c r="AE18" s="41" t="n">
        <f aca="false">SUM(AE8:AE17)</f>
        <v>18035.3</v>
      </c>
      <c r="AF18" s="41" t="n">
        <f aca="false">SUM(AF8:AF17)</f>
        <v>18035.3</v>
      </c>
      <c r="AG18" s="41" t="n">
        <f aca="false">SUM(AG8:AG17)</f>
        <v>18035.3</v>
      </c>
      <c r="AH18" s="41" t="n">
        <f aca="false">SUM(AH8:AH17)</f>
        <v>18035.3</v>
      </c>
      <c r="AI18" s="41" t="n">
        <f aca="false">SUM(AI8:AI17)</f>
        <v>18035.3</v>
      </c>
      <c r="AJ18" s="41" t="n">
        <f aca="false">SUM(AJ8:AJ17)</f>
        <v>18035.3</v>
      </c>
      <c r="AK18" s="41" t="n">
        <f aca="false">SUM(AK8:AK17)</f>
        <v>18035.3</v>
      </c>
      <c r="AL18" s="41" t="n">
        <f aca="false">SUM(AL8:AL17)</f>
        <v>18035.3</v>
      </c>
      <c r="AM18" s="41" t="n">
        <f aca="false">SUM(AM8:AM17)</f>
        <v>18576.359</v>
      </c>
      <c r="AN18" s="41" t="n">
        <f aca="false">SUM(AN8:AN17)</f>
        <v>18576.359</v>
      </c>
      <c r="AO18" s="41" t="n">
        <f aca="false">SUM(AO8:AO17)</f>
        <v>18576.359</v>
      </c>
      <c r="AP18" s="41" t="n">
        <f aca="false">SUM(AP8:AP17)</f>
        <v>18576.359</v>
      </c>
      <c r="AQ18" s="41" t="n">
        <f aca="false">SUM(AQ8:AQ17)</f>
        <v>18576.359</v>
      </c>
      <c r="AR18" s="41" t="n">
        <f aca="false">SUM(AR8:AR17)</f>
        <v>18576.359</v>
      </c>
      <c r="AS18" s="41" t="n">
        <f aca="false">SUM(AS8:AS17)</f>
        <v>18576.359</v>
      </c>
      <c r="AT18" s="41" t="n">
        <f aca="false">SUM(AT8:AT17)</f>
        <v>18576.359</v>
      </c>
      <c r="AU18" s="41" t="n">
        <f aca="false">SUM(AU8:AU17)</f>
        <v>18576.359</v>
      </c>
      <c r="AV18" s="41" t="n">
        <f aca="false">SUM(AV8:AV17)</f>
        <v>18576.359</v>
      </c>
      <c r="AW18" s="41" t="n">
        <f aca="false">SUM(AW8:AW17)</f>
        <v>18576.359</v>
      </c>
      <c r="AX18" s="41" t="n">
        <f aca="false">SUM(AX8:AX17)</f>
        <v>18576.359</v>
      </c>
      <c r="AY18" s="41" t="n">
        <f aca="false">SUM(AY8:AY17)</f>
        <v>19133.64977</v>
      </c>
      <c r="AZ18" s="41" t="n">
        <f aca="false">SUM(AZ8:AZ17)</f>
        <v>19133.64977</v>
      </c>
      <c r="BA18" s="41" t="n">
        <f aca="false">SUM(BA8:BA17)</f>
        <v>19133.64977</v>
      </c>
      <c r="BB18" s="41" t="n">
        <f aca="false">SUM(BB8:BB17)</f>
        <v>19133.64977</v>
      </c>
      <c r="BC18" s="41" t="n">
        <f aca="false">SUM(BC8:BC17)</f>
        <v>19133.64977</v>
      </c>
      <c r="BD18" s="41" t="n">
        <f aca="false">SUM(BD8:BD17)</f>
        <v>19133.64977</v>
      </c>
      <c r="BE18" s="41" t="n">
        <f aca="false">SUM(BE8:BE17)</f>
        <v>19133.64977</v>
      </c>
      <c r="BF18" s="41" t="n">
        <f aca="false">SUM(BF8:BF17)</f>
        <v>19133.64977</v>
      </c>
      <c r="BG18" s="41" t="n">
        <f aca="false">SUM(BG8:BG17)</f>
        <v>19133.64977</v>
      </c>
      <c r="BH18" s="41" t="n">
        <f aca="false">SUM(BH8:BH17)</f>
        <v>19133.64977</v>
      </c>
      <c r="BI18" s="41" t="n">
        <f aca="false">SUM(BI8:BI17)</f>
        <v>19133.64977</v>
      </c>
      <c r="BJ18" s="41" t="n">
        <f aca="false">SUM(BJ8:BJ17)</f>
        <v>19133.64977</v>
      </c>
      <c r="BK18" s="42" t="n">
        <f aca="false">SUMIF($C$5:$BJ$5,BK$5,$C18:$BJ18)</f>
        <v>147000</v>
      </c>
      <c r="BL18" s="42" t="n">
        <f aca="false">SUMIF($C$5:$BJ$5,BL$5,$C18:$BJ18)</f>
        <v>168920</v>
      </c>
      <c r="BM18" s="42" t="n">
        <f aca="false">SUMIF($C$5:$BJ$5,BM$5,$C18:$BJ18)</f>
        <v>216423.6</v>
      </c>
      <c r="BN18" s="42" t="n">
        <f aca="false">SUMIF($C$5:$BJ$5,BN$5,$C18:$BJ18)</f>
        <v>222916.308</v>
      </c>
      <c r="BO18" s="42" t="n">
        <f aca="false">SUMIF($C$5:$BJ$5,BO$5,$C18:$BJ18)</f>
        <v>229603.79724</v>
      </c>
    </row>
    <row r="19" customFormat="false" ht="15" hidden="false" customHeight="false" outlineLevel="0" collapsed="false">
      <c r="A19" s="18" t="s">
        <v>240</v>
      </c>
      <c r="B19" s="2"/>
      <c r="C19" s="14" t="n">
        <f aca="false">C18*Assumptions!$C$58</f>
        <v>828.75</v>
      </c>
      <c r="D19" s="14" t="n">
        <f aca="false">D18*Assumptions!$C$58</f>
        <v>828.75</v>
      </c>
      <c r="E19" s="14" t="n">
        <f aca="false">E18*Assumptions!$C$58</f>
        <v>828.75</v>
      </c>
      <c r="F19" s="14" t="n">
        <f aca="false">F18*Assumptions!$C$58</f>
        <v>828.75</v>
      </c>
      <c r="G19" s="14" t="n">
        <f aca="false">G18*Assumptions!$C$58</f>
        <v>828.75</v>
      </c>
      <c r="H19" s="14" t="n">
        <f aca="false">H18*Assumptions!$C$58</f>
        <v>828.75</v>
      </c>
      <c r="I19" s="14" t="n">
        <f aca="false">I18*Assumptions!$C$58</f>
        <v>1045.5</v>
      </c>
      <c r="J19" s="14" t="n">
        <f aca="false">J18*Assumptions!$C$58</f>
        <v>1045.5</v>
      </c>
      <c r="K19" s="14" t="n">
        <f aca="false">K18*Assumptions!$C$58</f>
        <v>1045.5</v>
      </c>
      <c r="L19" s="14" t="n">
        <f aca="false">L18*Assumptions!$C$58</f>
        <v>1045.5</v>
      </c>
      <c r="M19" s="14" t="n">
        <f aca="false">M18*Assumptions!$C$58</f>
        <v>1045.5</v>
      </c>
      <c r="N19" s="14" t="n">
        <f aca="false">N18*Assumptions!$C$58</f>
        <v>1045.5</v>
      </c>
      <c r="O19" s="14" t="n">
        <f aca="false">O18*Assumptions!$C$58</f>
        <v>1076.865</v>
      </c>
      <c r="P19" s="14" t="n">
        <f aca="false">P18*Assumptions!$C$58</f>
        <v>1076.865</v>
      </c>
      <c r="Q19" s="14" t="n">
        <f aca="false">Q18*Assumptions!$C$58</f>
        <v>1076.865</v>
      </c>
      <c r="R19" s="14" t="n">
        <f aca="false">R18*Assumptions!$C$58</f>
        <v>1076.865</v>
      </c>
      <c r="S19" s="14" t="n">
        <f aca="false">S18*Assumptions!$C$58</f>
        <v>1076.865</v>
      </c>
      <c r="T19" s="14" t="n">
        <f aca="false">T18*Assumptions!$C$58</f>
        <v>1076.865</v>
      </c>
      <c r="U19" s="14" t="n">
        <f aca="false">U18*Assumptions!$C$58</f>
        <v>1076.865</v>
      </c>
      <c r="V19" s="14" t="n">
        <f aca="false">V18*Assumptions!$C$58</f>
        <v>1076.865</v>
      </c>
      <c r="W19" s="14" t="n">
        <f aca="false">W18*Assumptions!$C$58</f>
        <v>1076.865</v>
      </c>
      <c r="X19" s="14" t="n">
        <f aca="false">X18*Assumptions!$C$58</f>
        <v>1076.865</v>
      </c>
      <c r="Y19" s="14" t="n">
        <f aca="false">Y18*Assumptions!$C$58</f>
        <v>1076.865</v>
      </c>
      <c r="Z19" s="14" t="n">
        <f aca="false">Z18*Assumptions!$C$58</f>
        <v>1076.865</v>
      </c>
      <c r="AA19" s="14" t="n">
        <f aca="false">AA18*Assumptions!$C$58</f>
        <v>1379.70045</v>
      </c>
      <c r="AB19" s="14" t="n">
        <f aca="false">AB18*Assumptions!$C$58</f>
        <v>1379.70045</v>
      </c>
      <c r="AC19" s="14" t="n">
        <f aca="false">AC18*Assumptions!$C$58</f>
        <v>1379.70045</v>
      </c>
      <c r="AD19" s="14" t="n">
        <f aca="false">AD18*Assumptions!$C$58</f>
        <v>1379.70045</v>
      </c>
      <c r="AE19" s="14" t="n">
        <f aca="false">AE18*Assumptions!$C$58</f>
        <v>1379.70045</v>
      </c>
      <c r="AF19" s="14" t="n">
        <f aca="false">AF18*Assumptions!$C$58</f>
        <v>1379.70045</v>
      </c>
      <c r="AG19" s="14" t="n">
        <f aca="false">AG18*Assumptions!$C$58</f>
        <v>1379.70045</v>
      </c>
      <c r="AH19" s="14" t="n">
        <f aca="false">AH18*Assumptions!$C$58</f>
        <v>1379.70045</v>
      </c>
      <c r="AI19" s="14" t="n">
        <f aca="false">AI18*Assumptions!$C$58</f>
        <v>1379.70045</v>
      </c>
      <c r="AJ19" s="14" t="n">
        <f aca="false">AJ18*Assumptions!$C$58</f>
        <v>1379.70045</v>
      </c>
      <c r="AK19" s="14" t="n">
        <f aca="false">AK18*Assumptions!$C$58</f>
        <v>1379.70045</v>
      </c>
      <c r="AL19" s="14" t="n">
        <f aca="false">AL18*Assumptions!$C$58</f>
        <v>1379.70045</v>
      </c>
      <c r="AM19" s="14" t="n">
        <f aca="false">AM18*Assumptions!$C$58</f>
        <v>1421.0914635</v>
      </c>
      <c r="AN19" s="14" t="n">
        <f aca="false">AN18*Assumptions!$C$58</f>
        <v>1421.0914635</v>
      </c>
      <c r="AO19" s="14" t="n">
        <f aca="false">AO18*Assumptions!$C$58</f>
        <v>1421.0914635</v>
      </c>
      <c r="AP19" s="14" t="n">
        <f aca="false">AP18*Assumptions!$C$58</f>
        <v>1421.0914635</v>
      </c>
      <c r="AQ19" s="14" t="n">
        <f aca="false">AQ18*Assumptions!$C$58</f>
        <v>1421.0914635</v>
      </c>
      <c r="AR19" s="14" t="n">
        <f aca="false">AR18*Assumptions!$C$58</f>
        <v>1421.0914635</v>
      </c>
      <c r="AS19" s="14" t="n">
        <f aca="false">AS18*Assumptions!$C$58</f>
        <v>1421.0914635</v>
      </c>
      <c r="AT19" s="14" t="n">
        <f aca="false">AT18*Assumptions!$C$58</f>
        <v>1421.0914635</v>
      </c>
      <c r="AU19" s="14" t="n">
        <f aca="false">AU18*Assumptions!$C$58</f>
        <v>1421.0914635</v>
      </c>
      <c r="AV19" s="14" t="n">
        <f aca="false">AV18*Assumptions!$C$58</f>
        <v>1421.0914635</v>
      </c>
      <c r="AW19" s="14" t="n">
        <f aca="false">AW18*Assumptions!$C$58</f>
        <v>1421.0914635</v>
      </c>
      <c r="AX19" s="14" t="n">
        <f aca="false">AX18*Assumptions!$C$58</f>
        <v>1421.0914635</v>
      </c>
      <c r="AY19" s="14" t="n">
        <f aca="false">AY18*Assumptions!$C$58</f>
        <v>1463.724207405</v>
      </c>
      <c r="AZ19" s="14" t="n">
        <f aca="false">AZ18*Assumptions!$C$58</f>
        <v>1463.724207405</v>
      </c>
      <c r="BA19" s="14" t="n">
        <f aca="false">BA18*Assumptions!$C$58</f>
        <v>1463.724207405</v>
      </c>
      <c r="BB19" s="14" t="n">
        <f aca="false">BB18*Assumptions!$C$58</f>
        <v>1463.724207405</v>
      </c>
      <c r="BC19" s="14" t="n">
        <f aca="false">BC18*Assumptions!$C$58</f>
        <v>1463.724207405</v>
      </c>
      <c r="BD19" s="14" t="n">
        <f aca="false">BD18*Assumptions!$C$58</f>
        <v>1463.724207405</v>
      </c>
      <c r="BE19" s="14" t="n">
        <f aca="false">BE18*Assumptions!$C$58</f>
        <v>1463.724207405</v>
      </c>
      <c r="BF19" s="14" t="n">
        <f aca="false">BF18*Assumptions!$C$58</f>
        <v>1463.724207405</v>
      </c>
      <c r="BG19" s="14" t="n">
        <f aca="false">BG18*Assumptions!$C$58</f>
        <v>1463.724207405</v>
      </c>
      <c r="BH19" s="14" t="n">
        <f aca="false">BH18*Assumptions!$C$58</f>
        <v>1463.724207405</v>
      </c>
      <c r="BI19" s="14" t="n">
        <f aca="false">BI18*Assumptions!$C$58</f>
        <v>1463.724207405</v>
      </c>
      <c r="BJ19" s="14" t="n">
        <f aca="false">BJ18*Assumptions!$C$58</f>
        <v>1463.724207405</v>
      </c>
      <c r="BK19" s="43" t="n">
        <f aca="false">SUMIF($C$5:$BJ$5,BK$5,$C19:$BJ19)</f>
        <v>11245.5</v>
      </c>
      <c r="BL19" s="43" t="n">
        <f aca="false">SUMIF($C$5:$BJ$5,BL$5,$C19:$BJ19)</f>
        <v>12922.38</v>
      </c>
      <c r="BM19" s="43" t="n">
        <f aca="false">SUMIF($C$5:$BJ$5,BM$5,$C19:$BJ19)</f>
        <v>16556.4054</v>
      </c>
      <c r="BN19" s="43" t="n">
        <f aca="false">SUMIF($C$5:$BJ$5,BN$5,$C19:$BJ19)</f>
        <v>17053.097562</v>
      </c>
      <c r="BO19" s="43" t="n">
        <f aca="false">SUMIF($C$5:$BJ$5,BO$5,$C19:$BJ19)</f>
        <v>17564.69048886</v>
      </c>
    </row>
    <row r="20" customFormat="false" ht="15" hidden="false" customHeight="false" outlineLevel="0" collapsed="false">
      <c r="A20" s="18" t="s">
        <v>241</v>
      </c>
      <c r="B20" s="2"/>
      <c r="C20" s="14" t="n">
        <f aca="false">C18*Assumptions!$C$59</f>
        <v>866.666666666667</v>
      </c>
      <c r="D20" s="14" t="n">
        <f aca="false">D18*Assumptions!$C$59</f>
        <v>866.666666666667</v>
      </c>
      <c r="E20" s="14" t="n">
        <f aca="false">E18*Assumptions!$C$59</f>
        <v>866.666666666667</v>
      </c>
      <c r="F20" s="14" t="n">
        <f aca="false">F18*Assumptions!$C$59</f>
        <v>866.666666666667</v>
      </c>
      <c r="G20" s="14" t="n">
        <f aca="false">G18*Assumptions!$C$59</f>
        <v>866.666666666667</v>
      </c>
      <c r="H20" s="14" t="n">
        <f aca="false">H18*Assumptions!$C$59</f>
        <v>866.666666666667</v>
      </c>
      <c r="I20" s="14" t="n">
        <f aca="false">I18*Assumptions!$C$59</f>
        <v>1093.33333333333</v>
      </c>
      <c r="J20" s="14" t="n">
        <f aca="false">J18*Assumptions!$C$59</f>
        <v>1093.33333333333</v>
      </c>
      <c r="K20" s="14" t="n">
        <f aca="false">K18*Assumptions!$C$59</f>
        <v>1093.33333333333</v>
      </c>
      <c r="L20" s="14" t="n">
        <f aca="false">L18*Assumptions!$C$59</f>
        <v>1093.33333333333</v>
      </c>
      <c r="M20" s="14" t="n">
        <f aca="false">M18*Assumptions!$C$59</f>
        <v>1093.33333333333</v>
      </c>
      <c r="N20" s="14" t="n">
        <f aca="false">N18*Assumptions!$C$59</f>
        <v>1093.33333333333</v>
      </c>
      <c r="O20" s="14" t="n">
        <f aca="false">O18*Assumptions!$C$59</f>
        <v>1126.13333333333</v>
      </c>
      <c r="P20" s="14" t="n">
        <f aca="false">P18*Assumptions!$C$59</f>
        <v>1126.13333333333</v>
      </c>
      <c r="Q20" s="14" t="n">
        <f aca="false">Q18*Assumptions!$C$59</f>
        <v>1126.13333333333</v>
      </c>
      <c r="R20" s="14" t="n">
        <f aca="false">R18*Assumptions!$C$59</f>
        <v>1126.13333333333</v>
      </c>
      <c r="S20" s="14" t="n">
        <f aca="false">S18*Assumptions!$C$59</f>
        <v>1126.13333333333</v>
      </c>
      <c r="T20" s="14" t="n">
        <f aca="false">T18*Assumptions!$C$59</f>
        <v>1126.13333333333</v>
      </c>
      <c r="U20" s="14" t="n">
        <f aca="false">U18*Assumptions!$C$59</f>
        <v>1126.13333333333</v>
      </c>
      <c r="V20" s="14" t="n">
        <f aca="false">V18*Assumptions!$C$59</f>
        <v>1126.13333333333</v>
      </c>
      <c r="W20" s="14" t="n">
        <f aca="false">W18*Assumptions!$C$59</f>
        <v>1126.13333333333</v>
      </c>
      <c r="X20" s="14" t="n">
        <f aca="false">X18*Assumptions!$C$59</f>
        <v>1126.13333333333</v>
      </c>
      <c r="Y20" s="14" t="n">
        <f aca="false">Y18*Assumptions!$C$59</f>
        <v>1126.13333333333</v>
      </c>
      <c r="Z20" s="14" t="n">
        <f aca="false">Z18*Assumptions!$C$59</f>
        <v>1126.13333333333</v>
      </c>
      <c r="AA20" s="14" t="n">
        <f aca="false">AA18*Assumptions!$C$59</f>
        <v>1442.824</v>
      </c>
      <c r="AB20" s="14" t="n">
        <f aca="false">AB18*Assumptions!$C$59</f>
        <v>1442.824</v>
      </c>
      <c r="AC20" s="14" t="n">
        <f aca="false">AC18*Assumptions!$C$59</f>
        <v>1442.824</v>
      </c>
      <c r="AD20" s="14" t="n">
        <f aca="false">AD18*Assumptions!$C$59</f>
        <v>1442.824</v>
      </c>
      <c r="AE20" s="14" t="n">
        <f aca="false">AE18*Assumptions!$C$59</f>
        <v>1442.824</v>
      </c>
      <c r="AF20" s="14" t="n">
        <f aca="false">AF18*Assumptions!$C$59</f>
        <v>1442.824</v>
      </c>
      <c r="AG20" s="14" t="n">
        <f aca="false">AG18*Assumptions!$C$59</f>
        <v>1442.824</v>
      </c>
      <c r="AH20" s="14" t="n">
        <f aca="false">AH18*Assumptions!$C$59</f>
        <v>1442.824</v>
      </c>
      <c r="AI20" s="14" t="n">
        <f aca="false">AI18*Assumptions!$C$59</f>
        <v>1442.824</v>
      </c>
      <c r="AJ20" s="14" t="n">
        <f aca="false">AJ18*Assumptions!$C$59</f>
        <v>1442.824</v>
      </c>
      <c r="AK20" s="14" t="n">
        <f aca="false">AK18*Assumptions!$C$59</f>
        <v>1442.824</v>
      </c>
      <c r="AL20" s="14" t="n">
        <f aca="false">AL18*Assumptions!$C$59</f>
        <v>1442.824</v>
      </c>
      <c r="AM20" s="14" t="n">
        <f aca="false">AM18*Assumptions!$C$59</f>
        <v>1486.10872</v>
      </c>
      <c r="AN20" s="14" t="n">
        <f aca="false">AN18*Assumptions!$C$59</f>
        <v>1486.10872</v>
      </c>
      <c r="AO20" s="14" t="n">
        <f aca="false">AO18*Assumptions!$C$59</f>
        <v>1486.10872</v>
      </c>
      <c r="AP20" s="14" t="n">
        <f aca="false">AP18*Assumptions!$C$59</f>
        <v>1486.10872</v>
      </c>
      <c r="AQ20" s="14" t="n">
        <f aca="false">AQ18*Assumptions!$C$59</f>
        <v>1486.10872</v>
      </c>
      <c r="AR20" s="14" t="n">
        <f aca="false">AR18*Assumptions!$C$59</f>
        <v>1486.10872</v>
      </c>
      <c r="AS20" s="14" t="n">
        <f aca="false">AS18*Assumptions!$C$59</f>
        <v>1486.10872</v>
      </c>
      <c r="AT20" s="14" t="n">
        <f aca="false">AT18*Assumptions!$C$59</f>
        <v>1486.10872</v>
      </c>
      <c r="AU20" s="14" t="n">
        <f aca="false">AU18*Assumptions!$C$59</f>
        <v>1486.10872</v>
      </c>
      <c r="AV20" s="14" t="n">
        <f aca="false">AV18*Assumptions!$C$59</f>
        <v>1486.10872</v>
      </c>
      <c r="AW20" s="14" t="n">
        <f aca="false">AW18*Assumptions!$C$59</f>
        <v>1486.10872</v>
      </c>
      <c r="AX20" s="14" t="n">
        <f aca="false">AX18*Assumptions!$C$59</f>
        <v>1486.10872</v>
      </c>
      <c r="AY20" s="14" t="n">
        <f aca="false">AY18*Assumptions!$C$59</f>
        <v>1530.6919816</v>
      </c>
      <c r="AZ20" s="14" t="n">
        <f aca="false">AZ18*Assumptions!$C$59</f>
        <v>1530.6919816</v>
      </c>
      <c r="BA20" s="14" t="n">
        <f aca="false">BA18*Assumptions!$C$59</f>
        <v>1530.6919816</v>
      </c>
      <c r="BB20" s="14" t="n">
        <f aca="false">BB18*Assumptions!$C$59</f>
        <v>1530.6919816</v>
      </c>
      <c r="BC20" s="14" t="n">
        <f aca="false">BC18*Assumptions!$C$59</f>
        <v>1530.6919816</v>
      </c>
      <c r="BD20" s="14" t="n">
        <f aca="false">BD18*Assumptions!$C$59</f>
        <v>1530.6919816</v>
      </c>
      <c r="BE20" s="14" t="n">
        <f aca="false">BE18*Assumptions!$C$59</f>
        <v>1530.6919816</v>
      </c>
      <c r="BF20" s="14" t="n">
        <f aca="false">BF18*Assumptions!$C$59</f>
        <v>1530.6919816</v>
      </c>
      <c r="BG20" s="14" t="n">
        <f aca="false">BG18*Assumptions!$C$59</f>
        <v>1530.6919816</v>
      </c>
      <c r="BH20" s="14" t="n">
        <f aca="false">BH18*Assumptions!$C$59</f>
        <v>1530.6919816</v>
      </c>
      <c r="BI20" s="14" t="n">
        <f aca="false">BI18*Assumptions!$C$59</f>
        <v>1530.6919816</v>
      </c>
      <c r="BJ20" s="14" t="n">
        <f aca="false">BJ18*Assumptions!$C$59</f>
        <v>1530.6919816</v>
      </c>
      <c r="BK20" s="43" t="n">
        <f aca="false">SUMIF($C$5:$BJ$5,BK$5,$C20:$BJ20)</f>
        <v>11760</v>
      </c>
      <c r="BL20" s="43" t="n">
        <f aca="false">SUMIF($C$5:$BJ$5,BL$5,$C20:$BJ20)</f>
        <v>13513.6</v>
      </c>
      <c r="BM20" s="43" t="n">
        <f aca="false">SUMIF($C$5:$BJ$5,BM$5,$C20:$BJ20)</f>
        <v>17313.888</v>
      </c>
      <c r="BN20" s="43" t="n">
        <f aca="false">SUMIF($C$5:$BJ$5,BN$5,$C20:$BJ20)</f>
        <v>17833.30464</v>
      </c>
      <c r="BO20" s="43" t="n">
        <f aca="false">SUMIF($C$5:$BJ$5,BO$5,$C20:$BJ20)</f>
        <v>18368.3037792</v>
      </c>
    </row>
    <row r="21" customFormat="false" ht="15" hidden="false" customHeight="false" outlineLevel="0" collapsed="false">
      <c r="A21" s="39" t="s">
        <v>242</v>
      </c>
      <c r="B21" s="40"/>
      <c r="C21" s="41" t="n">
        <f aca="false">C18+C19+C20</f>
        <v>12528.75</v>
      </c>
      <c r="D21" s="41" t="n">
        <f aca="false">D18+D19+D20</f>
        <v>12528.75</v>
      </c>
      <c r="E21" s="41" t="n">
        <f aca="false">E18+E19+E20</f>
        <v>12528.75</v>
      </c>
      <c r="F21" s="41" t="n">
        <f aca="false">F18+F19+F20</f>
        <v>12528.75</v>
      </c>
      <c r="G21" s="41" t="n">
        <f aca="false">G18+G19+G20</f>
        <v>12528.75</v>
      </c>
      <c r="H21" s="41" t="n">
        <f aca="false">H18+H19+H20</f>
        <v>12528.75</v>
      </c>
      <c r="I21" s="41" t="n">
        <f aca="false">I18+I19+I20</f>
        <v>15805.5</v>
      </c>
      <c r="J21" s="41" t="n">
        <f aca="false">J18+J19+J20</f>
        <v>15805.5</v>
      </c>
      <c r="K21" s="41" t="n">
        <f aca="false">K18+K19+K20</f>
        <v>15805.5</v>
      </c>
      <c r="L21" s="41" t="n">
        <f aca="false">L18+L19+L20</f>
        <v>15805.5</v>
      </c>
      <c r="M21" s="41" t="n">
        <f aca="false">M18+M19+M20</f>
        <v>15805.5</v>
      </c>
      <c r="N21" s="41" t="n">
        <f aca="false">N18+N19+N20</f>
        <v>15805.5</v>
      </c>
      <c r="O21" s="41" t="n">
        <f aca="false">O18+O19+O20</f>
        <v>16279.665</v>
      </c>
      <c r="P21" s="41" t="n">
        <f aca="false">P18+P19+P20</f>
        <v>16279.665</v>
      </c>
      <c r="Q21" s="41" t="n">
        <f aca="false">Q18+Q19+Q20</f>
        <v>16279.665</v>
      </c>
      <c r="R21" s="41" t="n">
        <f aca="false">R18+R19+R20</f>
        <v>16279.665</v>
      </c>
      <c r="S21" s="41" t="n">
        <f aca="false">S18+S19+S20</f>
        <v>16279.665</v>
      </c>
      <c r="T21" s="41" t="n">
        <f aca="false">T18+T19+T20</f>
        <v>16279.665</v>
      </c>
      <c r="U21" s="41" t="n">
        <f aca="false">U18+U19+U20</f>
        <v>16279.665</v>
      </c>
      <c r="V21" s="41" t="n">
        <f aca="false">V18+V19+V20</f>
        <v>16279.665</v>
      </c>
      <c r="W21" s="41" t="n">
        <f aca="false">W18+W19+W20</f>
        <v>16279.665</v>
      </c>
      <c r="X21" s="41" t="n">
        <f aca="false">X18+X19+X20</f>
        <v>16279.665</v>
      </c>
      <c r="Y21" s="41" t="n">
        <f aca="false">Y18+Y19+Y20</f>
        <v>16279.665</v>
      </c>
      <c r="Z21" s="41" t="n">
        <f aca="false">Z18+Z19+Z20</f>
        <v>16279.665</v>
      </c>
      <c r="AA21" s="41" t="n">
        <f aca="false">AA18+AA19+AA20</f>
        <v>20857.82445</v>
      </c>
      <c r="AB21" s="41" t="n">
        <f aca="false">AB18+AB19+AB20</f>
        <v>20857.82445</v>
      </c>
      <c r="AC21" s="41" t="n">
        <f aca="false">AC18+AC19+AC20</f>
        <v>20857.82445</v>
      </c>
      <c r="AD21" s="41" t="n">
        <f aca="false">AD18+AD19+AD20</f>
        <v>20857.82445</v>
      </c>
      <c r="AE21" s="41" t="n">
        <f aca="false">AE18+AE19+AE20</f>
        <v>20857.82445</v>
      </c>
      <c r="AF21" s="41" t="n">
        <f aca="false">AF18+AF19+AF20</f>
        <v>20857.82445</v>
      </c>
      <c r="AG21" s="41" t="n">
        <f aca="false">AG18+AG19+AG20</f>
        <v>20857.82445</v>
      </c>
      <c r="AH21" s="41" t="n">
        <f aca="false">AH18+AH19+AH20</f>
        <v>20857.82445</v>
      </c>
      <c r="AI21" s="41" t="n">
        <f aca="false">AI18+AI19+AI20</f>
        <v>20857.82445</v>
      </c>
      <c r="AJ21" s="41" t="n">
        <f aca="false">AJ18+AJ19+AJ20</f>
        <v>20857.82445</v>
      </c>
      <c r="AK21" s="41" t="n">
        <f aca="false">AK18+AK19+AK20</f>
        <v>20857.82445</v>
      </c>
      <c r="AL21" s="41" t="n">
        <f aca="false">AL18+AL19+AL20</f>
        <v>20857.82445</v>
      </c>
      <c r="AM21" s="41" t="n">
        <f aca="false">AM18+AM19+AM20</f>
        <v>21483.5591835</v>
      </c>
      <c r="AN21" s="41" t="n">
        <f aca="false">AN18+AN19+AN20</f>
        <v>21483.5591835</v>
      </c>
      <c r="AO21" s="41" t="n">
        <f aca="false">AO18+AO19+AO20</f>
        <v>21483.5591835</v>
      </c>
      <c r="AP21" s="41" t="n">
        <f aca="false">AP18+AP19+AP20</f>
        <v>21483.5591835</v>
      </c>
      <c r="AQ21" s="41" t="n">
        <f aca="false">AQ18+AQ19+AQ20</f>
        <v>21483.5591835</v>
      </c>
      <c r="AR21" s="41" t="n">
        <f aca="false">AR18+AR19+AR20</f>
        <v>21483.5591835</v>
      </c>
      <c r="AS21" s="41" t="n">
        <f aca="false">AS18+AS19+AS20</f>
        <v>21483.5591835</v>
      </c>
      <c r="AT21" s="41" t="n">
        <f aca="false">AT18+AT19+AT20</f>
        <v>21483.5591835</v>
      </c>
      <c r="AU21" s="41" t="n">
        <f aca="false">AU18+AU19+AU20</f>
        <v>21483.5591835</v>
      </c>
      <c r="AV21" s="41" t="n">
        <f aca="false">AV18+AV19+AV20</f>
        <v>21483.5591835</v>
      </c>
      <c r="AW21" s="41" t="n">
        <f aca="false">AW18+AW19+AW20</f>
        <v>21483.5591835</v>
      </c>
      <c r="AX21" s="41" t="n">
        <f aca="false">AX18+AX19+AX20</f>
        <v>21483.5591835</v>
      </c>
      <c r="AY21" s="41" t="n">
        <f aca="false">AY18+AY19+AY20</f>
        <v>22128.065959005</v>
      </c>
      <c r="AZ21" s="41" t="n">
        <f aca="false">AZ18+AZ19+AZ20</f>
        <v>22128.065959005</v>
      </c>
      <c r="BA21" s="41" t="n">
        <f aca="false">BA18+BA19+BA20</f>
        <v>22128.065959005</v>
      </c>
      <c r="BB21" s="41" t="n">
        <f aca="false">BB18+BB19+BB20</f>
        <v>22128.065959005</v>
      </c>
      <c r="BC21" s="41" t="n">
        <f aca="false">BC18+BC19+BC20</f>
        <v>22128.065959005</v>
      </c>
      <c r="BD21" s="41" t="n">
        <f aca="false">BD18+BD19+BD20</f>
        <v>22128.065959005</v>
      </c>
      <c r="BE21" s="41" t="n">
        <f aca="false">BE18+BE19+BE20</f>
        <v>22128.065959005</v>
      </c>
      <c r="BF21" s="41" t="n">
        <f aca="false">BF18+BF19+BF20</f>
        <v>22128.065959005</v>
      </c>
      <c r="BG21" s="41" t="n">
        <f aca="false">BG18+BG19+BG20</f>
        <v>22128.065959005</v>
      </c>
      <c r="BH21" s="41" t="n">
        <f aca="false">BH18+BH19+BH20</f>
        <v>22128.065959005</v>
      </c>
      <c r="BI21" s="41" t="n">
        <f aca="false">BI18+BI19+BI20</f>
        <v>22128.065959005</v>
      </c>
      <c r="BJ21" s="41" t="n">
        <f aca="false">BJ18+BJ19+BJ20</f>
        <v>22128.065959005</v>
      </c>
      <c r="BK21" s="42" t="n">
        <f aca="false">SUMIF($C$5:$BJ$5,BK$5,$C21:$BJ21)</f>
        <v>170005.5</v>
      </c>
      <c r="BL21" s="42" t="n">
        <f aca="false">SUMIF($C$5:$BJ$5,BL$5,$C21:$BJ21)</f>
        <v>195355.98</v>
      </c>
      <c r="BM21" s="42" t="n">
        <f aca="false">SUMIF($C$5:$BJ$5,BM$5,$C21:$BJ21)</f>
        <v>250293.8934</v>
      </c>
      <c r="BN21" s="42" t="n">
        <f aca="false">SUMIF($C$5:$BJ$5,BN$5,$C21:$BJ21)</f>
        <v>257802.710202</v>
      </c>
      <c r="BO21" s="42" t="n">
        <f aca="false">SUMIF($C$5:$BJ$5,BO$5,$C21:$BJ21)</f>
        <v>265536.79150806</v>
      </c>
    </row>
    <row r="23" customFormat="false" ht="15" hidden="false" customHeight="false" outlineLevel="0" collapsed="false">
      <c r="A23" s="18" t="s">
        <v>243</v>
      </c>
      <c r="B23" s="2" t="s">
        <v>244</v>
      </c>
      <c r="C23" s="35" t="n">
        <f aca="false">IF(C4&gt;=Assumptions!$E$46,Assumptions!$C$46,0)+IF(C4&gt;=Assumptions!$E$47,Assumptions!$C$47,0)+IF(C4&gt;=Assumptions!$E$48,Assumptions!$C$48,0)+IF(C4&gt;=Assumptions!$E$49,Assumptions!$C$49,0)+IF(C4&gt;=Assumptions!$E$50,Assumptions!$C$50,0)+IF(C4&gt;=Assumptions!$E$51,Assumptions!$C$51,0)+IF(C4&gt;=Assumptions!$E$52,Assumptions!$C$52,0)+IF(C4&gt;=Assumptions!$E$53,Assumptions!$C$53,0)+IF(C4&gt;=Assumptions!$E$54,Assumptions!$C$54,0)+IF(C4&gt;=Assumptions!$E$55,Assumptions!$C$55,0)</f>
        <v>3</v>
      </c>
      <c r="D23" s="35" t="n">
        <f aca="false">IF(D4&gt;=Assumptions!$E$46,Assumptions!$C$46,0)+IF(D4&gt;=Assumptions!$E$47,Assumptions!$C$47,0)+IF(D4&gt;=Assumptions!$E$48,Assumptions!$C$48,0)+IF(D4&gt;=Assumptions!$E$49,Assumptions!$C$49,0)+IF(D4&gt;=Assumptions!$E$50,Assumptions!$C$50,0)+IF(D4&gt;=Assumptions!$E$51,Assumptions!$C$51,0)+IF(D4&gt;=Assumptions!$E$52,Assumptions!$C$52,0)+IF(D4&gt;=Assumptions!$E$53,Assumptions!$C$53,0)+IF(D4&gt;=Assumptions!$E$54,Assumptions!$C$54,0)+IF(D4&gt;=Assumptions!$E$55,Assumptions!$C$55,0)</f>
        <v>3</v>
      </c>
      <c r="E23" s="35" t="n">
        <f aca="false">IF(E4&gt;=Assumptions!$E$46,Assumptions!$C$46,0)+IF(E4&gt;=Assumptions!$E$47,Assumptions!$C$47,0)+IF(E4&gt;=Assumptions!$E$48,Assumptions!$C$48,0)+IF(E4&gt;=Assumptions!$E$49,Assumptions!$C$49,0)+IF(E4&gt;=Assumptions!$E$50,Assumptions!$C$50,0)+IF(E4&gt;=Assumptions!$E$51,Assumptions!$C$51,0)+IF(E4&gt;=Assumptions!$E$52,Assumptions!$C$52,0)+IF(E4&gt;=Assumptions!$E$53,Assumptions!$C$53,0)+IF(E4&gt;=Assumptions!$E$54,Assumptions!$C$54,0)+IF(E4&gt;=Assumptions!$E$55,Assumptions!$C$55,0)</f>
        <v>3</v>
      </c>
      <c r="F23" s="35" t="n">
        <f aca="false">IF(F4&gt;=Assumptions!$E$46,Assumptions!$C$46,0)+IF(F4&gt;=Assumptions!$E$47,Assumptions!$C$47,0)+IF(F4&gt;=Assumptions!$E$48,Assumptions!$C$48,0)+IF(F4&gt;=Assumptions!$E$49,Assumptions!$C$49,0)+IF(F4&gt;=Assumptions!$E$50,Assumptions!$C$50,0)+IF(F4&gt;=Assumptions!$E$51,Assumptions!$C$51,0)+IF(F4&gt;=Assumptions!$E$52,Assumptions!$C$52,0)+IF(F4&gt;=Assumptions!$E$53,Assumptions!$C$53,0)+IF(F4&gt;=Assumptions!$E$54,Assumptions!$C$54,0)+IF(F4&gt;=Assumptions!$E$55,Assumptions!$C$55,0)</f>
        <v>3</v>
      </c>
      <c r="G23" s="35" t="n">
        <f aca="false">IF(G4&gt;=Assumptions!$E$46,Assumptions!$C$46,0)+IF(G4&gt;=Assumptions!$E$47,Assumptions!$C$47,0)+IF(G4&gt;=Assumptions!$E$48,Assumptions!$C$48,0)+IF(G4&gt;=Assumptions!$E$49,Assumptions!$C$49,0)+IF(G4&gt;=Assumptions!$E$50,Assumptions!$C$50,0)+IF(G4&gt;=Assumptions!$E$51,Assumptions!$C$51,0)+IF(G4&gt;=Assumptions!$E$52,Assumptions!$C$52,0)+IF(G4&gt;=Assumptions!$E$53,Assumptions!$C$53,0)+IF(G4&gt;=Assumptions!$E$54,Assumptions!$C$54,0)+IF(G4&gt;=Assumptions!$E$55,Assumptions!$C$55,0)</f>
        <v>3</v>
      </c>
      <c r="H23" s="35" t="n">
        <f aca="false">IF(H4&gt;=Assumptions!$E$46,Assumptions!$C$46,0)+IF(H4&gt;=Assumptions!$E$47,Assumptions!$C$47,0)+IF(H4&gt;=Assumptions!$E$48,Assumptions!$C$48,0)+IF(H4&gt;=Assumptions!$E$49,Assumptions!$C$49,0)+IF(H4&gt;=Assumptions!$E$50,Assumptions!$C$50,0)+IF(H4&gt;=Assumptions!$E$51,Assumptions!$C$51,0)+IF(H4&gt;=Assumptions!$E$52,Assumptions!$C$52,0)+IF(H4&gt;=Assumptions!$E$53,Assumptions!$C$53,0)+IF(H4&gt;=Assumptions!$E$54,Assumptions!$C$54,0)+IF(H4&gt;=Assumptions!$E$55,Assumptions!$C$55,0)</f>
        <v>3</v>
      </c>
      <c r="I23" s="35" t="n">
        <f aca="false">IF(I4&gt;=Assumptions!$E$46,Assumptions!$C$46,0)+IF(I4&gt;=Assumptions!$E$47,Assumptions!$C$47,0)+IF(I4&gt;=Assumptions!$E$48,Assumptions!$C$48,0)+IF(I4&gt;=Assumptions!$E$49,Assumptions!$C$49,0)+IF(I4&gt;=Assumptions!$E$50,Assumptions!$C$50,0)+IF(I4&gt;=Assumptions!$E$51,Assumptions!$C$51,0)+IF(I4&gt;=Assumptions!$E$52,Assumptions!$C$52,0)+IF(I4&gt;=Assumptions!$E$53,Assumptions!$C$53,0)+IF(I4&gt;=Assumptions!$E$54,Assumptions!$C$54,0)+IF(I4&gt;=Assumptions!$E$55,Assumptions!$C$55,0)</f>
        <v>4</v>
      </c>
      <c r="J23" s="35" t="n">
        <f aca="false">IF(J4&gt;=Assumptions!$E$46,Assumptions!$C$46,0)+IF(J4&gt;=Assumptions!$E$47,Assumptions!$C$47,0)+IF(J4&gt;=Assumptions!$E$48,Assumptions!$C$48,0)+IF(J4&gt;=Assumptions!$E$49,Assumptions!$C$49,0)+IF(J4&gt;=Assumptions!$E$50,Assumptions!$C$50,0)+IF(J4&gt;=Assumptions!$E$51,Assumptions!$C$51,0)+IF(J4&gt;=Assumptions!$E$52,Assumptions!$C$52,0)+IF(J4&gt;=Assumptions!$E$53,Assumptions!$C$53,0)+IF(J4&gt;=Assumptions!$E$54,Assumptions!$C$54,0)+IF(J4&gt;=Assumptions!$E$55,Assumptions!$C$55,0)</f>
        <v>4</v>
      </c>
      <c r="K23" s="35" t="n">
        <f aca="false">IF(K4&gt;=Assumptions!$E$46,Assumptions!$C$46,0)+IF(K4&gt;=Assumptions!$E$47,Assumptions!$C$47,0)+IF(K4&gt;=Assumptions!$E$48,Assumptions!$C$48,0)+IF(K4&gt;=Assumptions!$E$49,Assumptions!$C$49,0)+IF(K4&gt;=Assumptions!$E$50,Assumptions!$C$50,0)+IF(K4&gt;=Assumptions!$E$51,Assumptions!$C$51,0)+IF(K4&gt;=Assumptions!$E$52,Assumptions!$C$52,0)+IF(K4&gt;=Assumptions!$E$53,Assumptions!$C$53,0)+IF(K4&gt;=Assumptions!$E$54,Assumptions!$C$54,0)+IF(K4&gt;=Assumptions!$E$55,Assumptions!$C$55,0)</f>
        <v>4</v>
      </c>
      <c r="L23" s="35" t="n">
        <f aca="false">IF(L4&gt;=Assumptions!$E$46,Assumptions!$C$46,0)+IF(L4&gt;=Assumptions!$E$47,Assumptions!$C$47,0)+IF(L4&gt;=Assumptions!$E$48,Assumptions!$C$48,0)+IF(L4&gt;=Assumptions!$E$49,Assumptions!$C$49,0)+IF(L4&gt;=Assumptions!$E$50,Assumptions!$C$50,0)+IF(L4&gt;=Assumptions!$E$51,Assumptions!$C$51,0)+IF(L4&gt;=Assumptions!$E$52,Assumptions!$C$52,0)+IF(L4&gt;=Assumptions!$E$53,Assumptions!$C$53,0)+IF(L4&gt;=Assumptions!$E$54,Assumptions!$C$54,0)+IF(L4&gt;=Assumptions!$E$55,Assumptions!$C$55,0)</f>
        <v>4</v>
      </c>
      <c r="M23" s="35" t="n">
        <f aca="false">IF(M4&gt;=Assumptions!$E$46,Assumptions!$C$46,0)+IF(M4&gt;=Assumptions!$E$47,Assumptions!$C$47,0)+IF(M4&gt;=Assumptions!$E$48,Assumptions!$C$48,0)+IF(M4&gt;=Assumptions!$E$49,Assumptions!$C$49,0)+IF(M4&gt;=Assumptions!$E$50,Assumptions!$C$50,0)+IF(M4&gt;=Assumptions!$E$51,Assumptions!$C$51,0)+IF(M4&gt;=Assumptions!$E$52,Assumptions!$C$52,0)+IF(M4&gt;=Assumptions!$E$53,Assumptions!$C$53,0)+IF(M4&gt;=Assumptions!$E$54,Assumptions!$C$54,0)+IF(M4&gt;=Assumptions!$E$55,Assumptions!$C$55,0)</f>
        <v>4</v>
      </c>
      <c r="N23" s="35" t="n">
        <f aca="false">IF(N4&gt;=Assumptions!$E$46,Assumptions!$C$46,0)+IF(N4&gt;=Assumptions!$E$47,Assumptions!$C$47,0)+IF(N4&gt;=Assumptions!$E$48,Assumptions!$C$48,0)+IF(N4&gt;=Assumptions!$E$49,Assumptions!$C$49,0)+IF(N4&gt;=Assumptions!$E$50,Assumptions!$C$50,0)+IF(N4&gt;=Assumptions!$E$51,Assumptions!$C$51,0)+IF(N4&gt;=Assumptions!$E$52,Assumptions!$C$52,0)+IF(N4&gt;=Assumptions!$E$53,Assumptions!$C$53,0)+IF(N4&gt;=Assumptions!$E$54,Assumptions!$C$54,0)+IF(N4&gt;=Assumptions!$E$55,Assumptions!$C$55,0)</f>
        <v>4</v>
      </c>
      <c r="O23" s="35" t="n">
        <f aca="false">IF(O4&gt;=Assumptions!$E$46,Assumptions!$C$46,0)+IF(O4&gt;=Assumptions!$E$47,Assumptions!$C$47,0)+IF(O4&gt;=Assumptions!$E$48,Assumptions!$C$48,0)+IF(O4&gt;=Assumptions!$E$49,Assumptions!$C$49,0)+IF(O4&gt;=Assumptions!$E$50,Assumptions!$C$50,0)+IF(O4&gt;=Assumptions!$E$51,Assumptions!$C$51,0)+IF(O4&gt;=Assumptions!$E$52,Assumptions!$C$52,0)+IF(O4&gt;=Assumptions!$E$53,Assumptions!$C$53,0)+IF(O4&gt;=Assumptions!$E$54,Assumptions!$C$54,0)+IF(O4&gt;=Assumptions!$E$55,Assumptions!$C$55,0)</f>
        <v>4</v>
      </c>
      <c r="P23" s="35" t="n">
        <f aca="false">IF(P4&gt;=Assumptions!$E$46,Assumptions!$C$46,0)+IF(P4&gt;=Assumptions!$E$47,Assumptions!$C$47,0)+IF(P4&gt;=Assumptions!$E$48,Assumptions!$C$48,0)+IF(P4&gt;=Assumptions!$E$49,Assumptions!$C$49,0)+IF(P4&gt;=Assumptions!$E$50,Assumptions!$C$50,0)+IF(P4&gt;=Assumptions!$E$51,Assumptions!$C$51,0)+IF(P4&gt;=Assumptions!$E$52,Assumptions!$C$52,0)+IF(P4&gt;=Assumptions!$E$53,Assumptions!$C$53,0)+IF(P4&gt;=Assumptions!$E$54,Assumptions!$C$54,0)+IF(P4&gt;=Assumptions!$E$55,Assumptions!$C$55,0)</f>
        <v>4</v>
      </c>
      <c r="Q23" s="35" t="n">
        <f aca="false">IF(Q4&gt;=Assumptions!$E$46,Assumptions!$C$46,0)+IF(Q4&gt;=Assumptions!$E$47,Assumptions!$C$47,0)+IF(Q4&gt;=Assumptions!$E$48,Assumptions!$C$48,0)+IF(Q4&gt;=Assumptions!$E$49,Assumptions!$C$49,0)+IF(Q4&gt;=Assumptions!$E$50,Assumptions!$C$50,0)+IF(Q4&gt;=Assumptions!$E$51,Assumptions!$C$51,0)+IF(Q4&gt;=Assumptions!$E$52,Assumptions!$C$52,0)+IF(Q4&gt;=Assumptions!$E$53,Assumptions!$C$53,0)+IF(Q4&gt;=Assumptions!$E$54,Assumptions!$C$54,0)+IF(Q4&gt;=Assumptions!$E$55,Assumptions!$C$55,0)</f>
        <v>4</v>
      </c>
      <c r="R23" s="35" t="n">
        <f aca="false">IF(R4&gt;=Assumptions!$E$46,Assumptions!$C$46,0)+IF(R4&gt;=Assumptions!$E$47,Assumptions!$C$47,0)+IF(R4&gt;=Assumptions!$E$48,Assumptions!$C$48,0)+IF(R4&gt;=Assumptions!$E$49,Assumptions!$C$49,0)+IF(R4&gt;=Assumptions!$E$50,Assumptions!$C$50,0)+IF(R4&gt;=Assumptions!$E$51,Assumptions!$C$51,0)+IF(R4&gt;=Assumptions!$E$52,Assumptions!$C$52,0)+IF(R4&gt;=Assumptions!$E$53,Assumptions!$C$53,0)+IF(R4&gt;=Assumptions!$E$54,Assumptions!$C$54,0)+IF(R4&gt;=Assumptions!$E$55,Assumptions!$C$55,0)</f>
        <v>4</v>
      </c>
      <c r="S23" s="35" t="n">
        <f aca="false">IF(S4&gt;=Assumptions!$E$46,Assumptions!$C$46,0)+IF(S4&gt;=Assumptions!$E$47,Assumptions!$C$47,0)+IF(S4&gt;=Assumptions!$E$48,Assumptions!$C$48,0)+IF(S4&gt;=Assumptions!$E$49,Assumptions!$C$49,0)+IF(S4&gt;=Assumptions!$E$50,Assumptions!$C$50,0)+IF(S4&gt;=Assumptions!$E$51,Assumptions!$C$51,0)+IF(S4&gt;=Assumptions!$E$52,Assumptions!$C$52,0)+IF(S4&gt;=Assumptions!$E$53,Assumptions!$C$53,0)+IF(S4&gt;=Assumptions!$E$54,Assumptions!$C$54,0)+IF(S4&gt;=Assumptions!$E$55,Assumptions!$C$55,0)</f>
        <v>4</v>
      </c>
      <c r="T23" s="35" t="n">
        <f aca="false">IF(T4&gt;=Assumptions!$E$46,Assumptions!$C$46,0)+IF(T4&gt;=Assumptions!$E$47,Assumptions!$C$47,0)+IF(T4&gt;=Assumptions!$E$48,Assumptions!$C$48,0)+IF(T4&gt;=Assumptions!$E$49,Assumptions!$C$49,0)+IF(T4&gt;=Assumptions!$E$50,Assumptions!$C$50,0)+IF(T4&gt;=Assumptions!$E$51,Assumptions!$C$51,0)+IF(T4&gt;=Assumptions!$E$52,Assumptions!$C$52,0)+IF(T4&gt;=Assumptions!$E$53,Assumptions!$C$53,0)+IF(T4&gt;=Assumptions!$E$54,Assumptions!$C$54,0)+IF(T4&gt;=Assumptions!$E$55,Assumptions!$C$55,0)</f>
        <v>4</v>
      </c>
      <c r="U23" s="35" t="n">
        <f aca="false">IF(U4&gt;=Assumptions!$E$46,Assumptions!$C$46,0)+IF(U4&gt;=Assumptions!$E$47,Assumptions!$C$47,0)+IF(U4&gt;=Assumptions!$E$48,Assumptions!$C$48,0)+IF(U4&gt;=Assumptions!$E$49,Assumptions!$C$49,0)+IF(U4&gt;=Assumptions!$E$50,Assumptions!$C$50,0)+IF(U4&gt;=Assumptions!$E$51,Assumptions!$C$51,0)+IF(U4&gt;=Assumptions!$E$52,Assumptions!$C$52,0)+IF(U4&gt;=Assumptions!$E$53,Assumptions!$C$53,0)+IF(U4&gt;=Assumptions!$E$54,Assumptions!$C$54,0)+IF(U4&gt;=Assumptions!$E$55,Assumptions!$C$55,0)</f>
        <v>4</v>
      </c>
      <c r="V23" s="35" t="n">
        <f aca="false">IF(V4&gt;=Assumptions!$E$46,Assumptions!$C$46,0)+IF(V4&gt;=Assumptions!$E$47,Assumptions!$C$47,0)+IF(V4&gt;=Assumptions!$E$48,Assumptions!$C$48,0)+IF(V4&gt;=Assumptions!$E$49,Assumptions!$C$49,0)+IF(V4&gt;=Assumptions!$E$50,Assumptions!$C$50,0)+IF(V4&gt;=Assumptions!$E$51,Assumptions!$C$51,0)+IF(V4&gt;=Assumptions!$E$52,Assumptions!$C$52,0)+IF(V4&gt;=Assumptions!$E$53,Assumptions!$C$53,0)+IF(V4&gt;=Assumptions!$E$54,Assumptions!$C$54,0)+IF(V4&gt;=Assumptions!$E$55,Assumptions!$C$55,0)</f>
        <v>4</v>
      </c>
      <c r="W23" s="35" t="n">
        <f aca="false">IF(W4&gt;=Assumptions!$E$46,Assumptions!$C$46,0)+IF(W4&gt;=Assumptions!$E$47,Assumptions!$C$47,0)+IF(W4&gt;=Assumptions!$E$48,Assumptions!$C$48,0)+IF(W4&gt;=Assumptions!$E$49,Assumptions!$C$49,0)+IF(W4&gt;=Assumptions!$E$50,Assumptions!$C$50,0)+IF(W4&gt;=Assumptions!$E$51,Assumptions!$C$51,0)+IF(W4&gt;=Assumptions!$E$52,Assumptions!$C$52,0)+IF(W4&gt;=Assumptions!$E$53,Assumptions!$C$53,0)+IF(W4&gt;=Assumptions!$E$54,Assumptions!$C$54,0)+IF(W4&gt;=Assumptions!$E$55,Assumptions!$C$55,0)</f>
        <v>4</v>
      </c>
      <c r="X23" s="35" t="n">
        <f aca="false">IF(X4&gt;=Assumptions!$E$46,Assumptions!$C$46,0)+IF(X4&gt;=Assumptions!$E$47,Assumptions!$C$47,0)+IF(X4&gt;=Assumptions!$E$48,Assumptions!$C$48,0)+IF(X4&gt;=Assumptions!$E$49,Assumptions!$C$49,0)+IF(X4&gt;=Assumptions!$E$50,Assumptions!$C$50,0)+IF(X4&gt;=Assumptions!$E$51,Assumptions!$C$51,0)+IF(X4&gt;=Assumptions!$E$52,Assumptions!$C$52,0)+IF(X4&gt;=Assumptions!$E$53,Assumptions!$C$53,0)+IF(X4&gt;=Assumptions!$E$54,Assumptions!$C$54,0)+IF(X4&gt;=Assumptions!$E$55,Assumptions!$C$55,0)</f>
        <v>4</v>
      </c>
      <c r="Y23" s="35" t="n">
        <f aca="false">IF(Y4&gt;=Assumptions!$E$46,Assumptions!$C$46,0)+IF(Y4&gt;=Assumptions!$E$47,Assumptions!$C$47,0)+IF(Y4&gt;=Assumptions!$E$48,Assumptions!$C$48,0)+IF(Y4&gt;=Assumptions!$E$49,Assumptions!$C$49,0)+IF(Y4&gt;=Assumptions!$E$50,Assumptions!$C$50,0)+IF(Y4&gt;=Assumptions!$E$51,Assumptions!$C$51,0)+IF(Y4&gt;=Assumptions!$E$52,Assumptions!$C$52,0)+IF(Y4&gt;=Assumptions!$E$53,Assumptions!$C$53,0)+IF(Y4&gt;=Assumptions!$E$54,Assumptions!$C$54,0)+IF(Y4&gt;=Assumptions!$E$55,Assumptions!$C$55,0)</f>
        <v>4</v>
      </c>
      <c r="Z23" s="35" t="n">
        <f aca="false">IF(Z4&gt;=Assumptions!$E$46,Assumptions!$C$46,0)+IF(Z4&gt;=Assumptions!$E$47,Assumptions!$C$47,0)+IF(Z4&gt;=Assumptions!$E$48,Assumptions!$C$48,0)+IF(Z4&gt;=Assumptions!$E$49,Assumptions!$C$49,0)+IF(Z4&gt;=Assumptions!$E$50,Assumptions!$C$50,0)+IF(Z4&gt;=Assumptions!$E$51,Assumptions!$C$51,0)+IF(Z4&gt;=Assumptions!$E$52,Assumptions!$C$52,0)+IF(Z4&gt;=Assumptions!$E$53,Assumptions!$C$53,0)+IF(Z4&gt;=Assumptions!$E$54,Assumptions!$C$54,0)+IF(Z4&gt;=Assumptions!$E$55,Assumptions!$C$55,0)</f>
        <v>4</v>
      </c>
      <c r="AA23" s="35" t="n">
        <f aca="false">IF(AA4&gt;=Assumptions!$E$46,Assumptions!$C$46,0)+IF(AA4&gt;=Assumptions!$E$47,Assumptions!$C$47,0)+IF(AA4&gt;=Assumptions!$E$48,Assumptions!$C$48,0)+IF(AA4&gt;=Assumptions!$E$49,Assumptions!$C$49,0)+IF(AA4&gt;=Assumptions!$E$50,Assumptions!$C$50,0)+IF(AA4&gt;=Assumptions!$E$51,Assumptions!$C$51,0)+IF(AA4&gt;=Assumptions!$E$52,Assumptions!$C$52,0)+IF(AA4&gt;=Assumptions!$E$53,Assumptions!$C$53,0)+IF(AA4&gt;=Assumptions!$E$54,Assumptions!$C$54,0)+IF(AA4&gt;=Assumptions!$E$55,Assumptions!$C$55,0)</f>
        <v>5</v>
      </c>
      <c r="AB23" s="35" t="n">
        <f aca="false">IF(AB4&gt;=Assumptions!$E$46,Assumptions!$C$46,0)+IF(AB4&gt;=Assumptions!$E$47,Assumptions!$C$47,0)+IF(AB4&gt;=Assumptions!$E$48,Assumptions!$C$48,0)+IF(AB4&gt;=Assumptions!$E$49,Assumptions!$C$49,0)+IF(AB4&gt;=Assumptions!$E$50,Assumptions!$C$50,0)+IF(AB4&gt;=Assumptions!$E$51,Assumptions!$C$51,0)+IF(AB4&gt;=Assumptions!$E$52,Assumptions!$C$52,0)+IF(AB4&gt;=Assumptions!$E$53,Assumptions!$C$53,0)+IF(AB4&gt;=Assumptions!$E$54,Assumptions!$C$54,0)+IF(AB4&gt;=Assumptions!$E$55,Assumptions!$C$55,0)</f>
        <v>5</v>
      </c>
      <c r="AC23" s="35" t="n">
        <f aca="false">IF(AC4&gt;=Assumptions!$E$46,Assumptions!$C$46,0)+IF(AC4&gt;=Assumptions!$E$47,Assumptions!$C$47,0)+IF(AC4&gt;=Assumptions!$E$48,Assumptions!$C$48,0)+IF(AC4&gt;=Assumptions!$E$49,Assumptions!$C$49,0)+IF(AC4&gt;=Assumptions!$E$50,Assumptions!$C$50,0)+IF(AC4&gt;=Assumptions!$E$51,Assumptions!$C$51,0)+IF(AC4&gt;=Assumptions!$E$52,Assumptions!$C$52,0)+IF(AC4&gt;=Assumptions!$E$53,Assumptions!$C$53,0)+IF(AC4&gt;=Assumptions!$E$54,Assumptions!$C$54,0)+IF(AC4&gt;=Assumptions!$E$55,Assumptions!$C$55,0)</f>
        <v>5</v>
      </c>
      <c r="AD23" s="35" t="n">
        <f aca="false">IF(AD4&gt;=Assumptions!$E$46,Assumptions!$C$46,0)+IF(AD4&gt;=Assumptions!$E$47,Assumptions!$C$47,0)+IF(AD4&gt;=Assumptions!$E$48,Assumptions!$C$48,0)+IF(AD4&gt;=Assumptions!$E$49,Assumptions!$C$49,0)+IF(AD4&gt;=Assumptions!$E$50,Assumptions!$C$50,0)+IF(AD4&gt;=Assumptions!$E$51,Assumptions!$C$51,0)+IF(AD4&gt;=Assumptions!$E$52,Assumptions!$C$52,0)+IF(AD4&gt;=Assumptions!$E$53,Assumptions!$C$53,0)+IF(AD4&gt;=Assumptions!$E$54,Assumptions!$C$54,0)+IF(AD4&gt;=Assumptions!$E$55,Assumptions!$C$55,0)</f>
        <v>5</v>
      </c>
      <c r="AE23" s="35" t="n">
        <f aca="false">IF(AE4&gt;=Assumptions!$E$46,Assumptions!$C$46,0)+IF(AE4&gt;=Assumptions!$E$47,Assumptions!$C$47,0)+IF(AE4&gt;=Assumptions!$E$48,Assumptions!$C$48,0)+IF(AE4&gt;=Assumptions!$E$49,Assumptions!$C$49,0)+IF(AE4&gt;=Assumptions!$E$50,Assumptions!$C$50,0)+IF(AE4&gt;=Assumptions!$E$51,Assumptions!$C$51,0)+IF(AE4&gt;=Assumptions!$E$52,Assumptions!$C$52,0)+IF(AE4&gt;=Assumptions!$E$53,Assumptions!$C$53,0)+IF(AE4&gt;=Assumptions!$E$54,Assumptions!$C$54,0)+IF(AE4&gt;=Assumptions!$E$55,Assumptions!$C$55,0)</f>
        <v>5</v>
      </c>
      <c r="AF23" s="35" t="n">
        <f aca="false">IF(AF4&gt;=Assumptions!$E$46,Assumptions!$C$46,0)+IF(AF4&gt;=Assumptions!$E$47,Assumptions!$C$47,0)+IF(AF4&gt;=Assumptions!$E$48,Assumptions!$C$48,0)+IF(AF4&gt;=Assumptions!$E$49,Assumptions!$C$49,0)+IF(AF4&gt;=Assumptions!$E$50,Assumptions!$C$50,0)+IF(AF4&gt;=Assumptions!$E$51,Assumptions!$C$51,0)+IF(AF4&gt;=Assumptions!$E$52,Assumptions!$C$52,0)+IF(AF4&gt;=Assumptions!$E$53,Assumptions!$C$53,0)+IF(AF4&gt;=Assumptions!$E$54,Assumptions!$C$54,0)+IF(AF4&gt;=Assumptions!$E$55,Assumptions!$C$55,0)</f>
        <v>5</v>
      </c>
      <c r="AG23" s="35" t="n">
        <f aca="false">IF(AG4&gt;=Assumptions!$E$46,Assumptions!$C$46,0)+IF(AG4&gt;=Assumptions!$E$47,Assumptions!$C$47,0)+IF(AG4&gt;=Assumptions!$E$48,Assumptions!$C$48,0)+IF(AG4&gt;=Assumptions!$E$49,Assumptions!$C$49,0)+IF(AG4&gt;=Assumptions!$E$50,Assumptions!$C$50,0)+IF(AG4&gt;=Assumptions!$E$51,Assumptions!$C$51,0)+IF(AG4&gt;=Assumptions!$E$52,Assumptions!$C$52,0)+IF(AG4&gt;=Assumptions!$E$53,Assumptions!$C$53,0)+IF(AG4&gt;=Assumptions!$E$54,Assumptions!$C$54,0)+IF(AG4&gt;=Assumptions!$E$55,Assumptions!$C$55,0)</f>
        <v>5</v>
      </c>
      <c r="AH23" s="35" t="n">
        <f aca="false">IF(AH4&gt;=Assumptions!$E$46,Assumptions!$C$46,0)+IF(AH4&gt;=Assumptions!$E$47,Assumptions!$C$47,0)+IF(AH4&gt;=Assumptions!$E$48,Assumptions!$C$48,0)+IF(AH4&gt;=Assumptions!$E$49,Assumptions!$C$49,0)+IF(AH4&gt;=Assumptions!$E$50,Assumptions!$C$50,0)+IF(AH4&gt;=Assumptions!$E$51,Assumptions!$C$51,0)+IF(AH4&gt;=Assumptions!$E$52,Assumptions!$C$52,0)+IF(AH4&gt;=Assumptions!$E$53,Assumptions!$C$53,0)+IF(AH4&gt;=Assumptions!$E$54,Assumptions!$C$54,0)+IF(AH4&gt;=Assumptions!$E$55,Assumptions!$C$55,0)</f>
        <v>5</v>
      </c>
      <c r="AI23" s="35" t="n">
        <f aca="false">IF(AI4&gt;=Assumptions!$E$46,Assumptions!$C$46,0)+IF(AI4&gt;=Assumptions!$E$47,Assumptions!$C$47,0)+IF(AI4&gt;=Assumptions!$E$48,Assumptions!$C$48,0)+IF(AI4&gt;=Assumptions!$E$49,Assumptions!$C$49,0)+IF(AI4&gt;=Assumptions!$E$50,Assumptions!$C$50,0)+IF(AI4&gt;=Assumptions!$E$51,Assumptions!$C$51,0)+IF(AI4&gt;=Assumptions!$E$52,Assumptions!$C$52,0)+IF(AI4&gt;=Assumptions!$E$53,Assumptions!$C$53,0)+IF(AI4&gt;=Assumptions!$E$54,Assumptions!$C$54,0)+IF(AI4&gt;=Assumptions!$E$55,Assumptions!$C$55,0)</f>
        <v>5</v>
      </c>
      <c r="AJ23" s="35" t="n">
        <f aca="false">IF(AJ4&gt;=Assumptions!$E$46,Assumptions!$C$46,0)+IF(AJ4&gt;=Assumptions!$E$47,Assumptions!$C$47,0)+IF(AJ4&gt;=Assumptions!$E$48,Assumptions!$C$48,0)+IF(AJ4&gt;=Assumptions!$E$49,Assumptions!$C$49,0)+IF(AJ4&gt;=Assumptions!$E$50,Assumptions!$C$50,0)+IF(AJ4&gt;=Assumptions!$E$51,Assumptions!$C$51,0)+IF(AJ4&gt;=Assumptions!$E$52,Assumptions!$C$52,0)+IF(AJ4&gt;=Assumptions!$E$53,Assumptions!$C$53,0)+IF(AJ4&gt;=Assumptions!$E$54,Assumptions!$C$54,0)+IF(AJ4&gt;=Assumptions!$E$55,Assumptions!$C$55,0)</f>
        <v>5</v>
      </c>
      <c r="AK23" s="35" t="n">
        <f aca="false">IF(AK4&gt;=Assumptions!$E$46,Assumptions!$C$46,0)+IF(AK4&gt;=Assumptions!$E$47,Assumptions!$C$47,0)+IF(AK4&gt;=Assumptions!$E$48,Assumptions!$C$48,0)+IF(AK4&gt;=Assumptions!$E$49,Assumptions!$C$49,0)+IF(AK4&gt;=Assumptions!$E$50,Assumptions!$C$50,0)+IF(AK4&gt;=Assumptions!$E$51,Assumptions!$C$51,0)+IF(AK4&gt;=Assumptions!$E$52,Assumptions!$C$52,0)+IF(AK4&gt;=Assumptions!$E$53,Assumptions!$C$53,0)+IF(AK4&gt;=Assumptions!$E$54,Assumptions!$C$54,0)+IF(AK4&gt;=Assumptions!$E$55,Assumptions!$C$55,0)</f>
        <v>5</v>
      </c>
      <c r="AL23" s="35" t="n">
        <f aca="false">IF(AL4&gt;=Assumptions!$E$46,Assumptions!$C$46,0)+IF(AL4&gt;=Assumptions!$E$47,Assumptions!$C$47,0)+IF(AL4&gt;=Assumptions!$E$48,Assumptions!$C$48,0)+IF(AL4&gt;=Assumptions!$E$49,Assumptions!$C$49,0)+IF(AL4&gt;=Assumptions!$E$50,Assumptions!$C$50,0)+IF(AL4&gt;=Assumptions!$E$51,Assumptions!$C$51,0)+IF(AL4&gt;=Assumptions!$E$52,Assumptions!$C$52,0)+IF(AL4&gt;=Assumptions!$E$53,Assumptions!$C$53,0)+IF(AL4&gt;=Assumptions!$E$54,Assumptions!$C$54,0)+IF(AL4&gt;=Assumptions!$E$55,Assumptions!$C$55,0)</f>
        <v>5</v>
      </c>
      <c r="AM23" s="35" t="n">
        <f aca="false">IF(AM4&gt;=Assumptions!$E$46,Assumptions!$C$46,0)+IF(AM4&gt;=Assumptions!$E$47,Assumptions!$C$47,0)+IF(AM4&gt;=Assumptions!$E$48,Assumptions!$C$48,0)+IF(AM4&gt;=Assumptions!$E$49,Assumptions!$C$49,0)+IF(AM4&gt;=Assumptions!$E$50,Assumptions!$C$50,0)+IF(AM4&gt;=Assumptions!$E$51,Assumptions!$C$51,0)+IF(AM4&gt;=Assumptions!$E$52,Assumptions!$C$52,0)+IF(AM4&gt;=Assumptions!$E$53,Assumptions!$C$53,0)+IF(AM4&gt;=Assumptions!$E$54,Assumptions!$C$54,0)+IF(AM4&gt;=Assumptions!$E$55,Assumptions!$C$55,0)</f>
        <v>5</v>
      </c>
      <c r="AN23" s="35" t="n">
        <f aca="false">IF(AN4&gt;=Assumptions!$E$46,Assumptions!$C$46,0)+IF(AN4&gt;=Assumptions!$E$47,Assumptions!$C$47,0)+IF(AN4&gt;=Assumptions!$E$48,Assumptions!$C$48,0)+IF(AN4&gt;=Assumptions!$E$49,Assumptions!$C$49,0)+IF(AN4&gt;=Assumptions!$E$50,Assumptions!$C$50,0)+IF(AN4&gt;=Assumptions!$E$51,Assumptions!$C$51,0)+IF(AN4&gt;=Assumptions!$E$52,Assumptions!$C$52,0)+IF(AN4&gt;=Assumptions!$E$53,Assumptions!$C$53,0)+IF(AN4&gt;=Assumptions!$E$54,Assumptions!$C$54,0)+IF(AN4&gt;=Assumptions!$E$55,Assumptions!$C$55,0)</f>
        <v>5</v>
      </c>
      <c r="AO23" s="35" t="n">
        <f aca="false">IF(AO4&gt;=Assumptions!$E$46,Assumptions!$C$46,0)+IF(AO4&gt;=Assumptions!$E$47,Assumptions!$C$47,0)+IF(AO4&gt;=Assumptions!$E$48,Assumptions!$C$48,0)+IF(AO4&gt;=Assumptions!$E$49,Assumptions!$C$49,0)+IF(AO4&gt;=Assumptions!$E$50,Assumptions!$C$50,0)+IF(AO4&gt;=Assumptions!$E$51,Assumptions!$C$51,0)+IF(AO4&gt;=Assumptions!$E$52,Assumptions!$C$52,0)+IF(AO4&gt;=Assumptions!$E$53,Assumptions!$C$53,0)+IF(AO4&gt;=Assumptions!$E$54,Assumptions!$C$54,0)+IF(AO4&gt;=Assumptions!$E$55,Assumptions!$C$55,0)</f>
        <v>5</v>
      </c>
      <c r="AP23" s="35" t="n">
        <f aca="false">IF(AP4&gt;=Assumptions!$E$46,Assumptions!$C$46,0)+IF(AP4&gt;=Assumptions!$E$47,Assumptions!$C$47,0)+IF(AP4&gt;=Assumptions!$E$48,Assumptions!$C$48,0)+IF(AP4&gt;=Assumptions!$E$49,Assumptions!$C$49,0)+IF(AP4&gt;=Assumptions!$E$50,Assumptions!$C$50,0)+IF(AP4&gt;=Assumptions!$E$51,Assumptions!$C$51,0)+IF(AP4&gt;=Assumptions!$E$52,Assumptions!$C$52,0)+IF(AP4&gt;=Assumptions!$E$53,Assumptions!$C$53,0)+IF(AP4&gt;=Assumptions!$E$54,Assumptions!$C$54,0)+IF(AP4&gt;=Assumptions!$E$55,Assumptions!$C$55,0)</f>
        <v>5</v>
      </c>
      <c r="AQ23" s="35" t="n">
        <f aca="false">IF(AQ4&gt;=Assumptions!$E$46,Assumptions!$C$46,0)+IF(AQ4&gt;=Assumptions!$E$47,Assumptions!$C$47,0)+IF(AQ4&gt;=Assumptions!$E$48,Assumptions!$C$48,0)+IF(AQ4&gt;=Assumptions!$E$49,Assumptions!$C$49,0)+IF(AQ4&gt;=Assumptions!$E$50,Assumptions!$C$50,0)+IF(AQ4&gt;=Assumptions!$E$51,Assumptions!$C$51,0)+IF(AQ4&gt;=Assumptions!$E$52,Assumptions!$C$52,0)+IF(AQ4&gt;=Assumptions!$E$53,Assumptions!$C$53,0)+IF(AQ4&gt;=Assumptions!$E$54,Assumptions!$C$54,0)+IF(AQ4&gt;=Assumptions!$E$55,Assumptions!$C$55,0)</f>
        <v>5</v>
      </c>
      <c r="AR23" s="35" t="n">
        <f aca="false">IF(AR4&gt;=Assumptions!$E$46,Assumptions!$C$46,0)+IF(AR4&gt;=Assumptions!$E$47,Assumptions!$C$47,0)+IF(AR4&gt;=Assumptions!$E$48,Assumptions!$C$48,0)+IF(AR4&gt;=Assumptions!$E$49,Assumptions!$C$49,0)+IF(AR4&gt;=Assumptions!$E$50,Assumptions!$C$50,0)+IF(AR4&gt;=Assumptions!$E$51,Assumptions!$C$51,0)+IF(AR4&gt;=Assumptions!$E$52,Assumptions!$C$52,0)+IF(AR4&gt;=Assumptions!$E$53,Assumptions!$C$53,0)+IF(AR4&gt;=Assumptions!$E$54,Assumptions!$C$54,0)+IF(AR4&gt;=Assumptions!$E$55,Assumptions!$C$55,0)</f>
        <v>5</v>
      </c>
      <c r="AS23" s="35" t="n">
        <f aca="false">IF(AS4&gt;=Assumptions!$E$46,Assumptions!$C$46,0)+IF(AS4&gt;=Assumptions!$E$47,Assumptions!$C$47,0)+IF(AS4&gt;=Assumptions!$E$48,Assumptions!$C$48,0)+IF(AS4&gt;=Assumptions!$E$49,Assumptions!$C$49,0)+IF(AS4&gt;=Assumptions!$E$50,Assumptions!$C$50,0)+IF(AS4&gt;=Assumptions!$E$51,Assumptions!$C$51,0)+IF(AS4&gt;=Assumptions!$E$52,Assumptions!$C$52,0)+IF(AS4&gt;=Assumptions!$E$53,Assumptions!$C$53,0)+IF(AS4&gt;=Assumptions!$E$54,Assumptions!$C$54,0)+IF(AS4&gt;=Assumptions!$E$55,Assumptions!$C$55,0)</f>
        <v>5</v>
      </c>
      <c r="AT23" s="35" t="n">
        <f aca="false">IF(AT4&gt;=Assumptions!$E$46,Assumptions!$C$46,0)+IF(AT4&gt;=Assumptions!$E$47,Assumptions!$C$47,0)+IF(AT4&gt;=Assumptions!$E$48,Assumptions!$C$48,0)+IF(AT4&gt;=Assumptions!$E$49,Assumptions!$C$49,0)+IF(AT4&gt;=Assumptions!$E$50,Assumptions!$C$50,0)+IF(AT4&gt;=Assumptions!$E$51,Assumptions!$C$51,0)+IF(AT4&gt;=Assumptions!$E$52,Assumptions!$C$52,0)+IF(AT4&gt;=Assumptions!$E$53,Assumptions!$C$53,0)+IF(AT4&gt;=Assumptions!$E$54,Assumptions!$C$54,0)+IF(AT4&gt;=Assumptions!$E$55,Assumptions!$C$55,0)</f>
        <v>5</v>
      </c>
      <c r="AU23" s="35" t="n">
        <f aca="false">IF(AU4&gt;=Assumptions!$E$46,Assumptions!$C$46,0)+IF(AU4&gt;=Assumptions!$E$47,Assumptions!$C$47,0)+IF(AU4&gt;=Assumptions!$E$48,Assumptions!$C$48,0)+IF(AU4&gt;=Assumptions!$E$49,Assumptions!$C$49,0)+IF(AU4&gt;=Assumptions!$E$50,Assumptions!$C$50,0)+IF(AU4&gt;=Assumptions!$E$51,Assumptions!$C$51,0)+IF(AU4&gt;=Assumptions!$E$52,Assumptions!$C$52,0)+IF(AU4&gt;=Assumptions!$E$53,Assumptions!$C$53,0)+IF(AU4&gt;=Assumptions!$E$54,Assumptions!$C$54,0)+IF(AU4&gt;=Assumptions!$E$55,Assumptions!$C$55,0)</f>
        <v>5</v>
      </c>
      <c r="AV23" s="35" t="n">
        <f aca="false">IF(AV4&gt;=Assumptions!$E$46,Assumptions!$C$46,0)+IF(AV4&gt;=Assumptions!$E$47,Assumptions!$C$47,0)+IF(AV4&gt;=Assumptions!$E$48,Assumptions!$C$48,0)+IF(AV4&gt;=Assumptions!$E$49,Assumptions!$C$49,0)+IF(AV4&gt;=Assumptions!$E$50,Assumptions!$C$50,0)+IF(AV4&gt;=Assumptions!$E$51,Assumptions!$C$51,0)+IF(AV4&gt;=Assumptions!$E$52,Assumptions!$C$52,0)+IF(AV4&gt;=Assumptions!$E$53,Assumptions!$C$53,0)+IF(AV4&gt;=Assumptions!$E$54,Assumptions!$C$54,0)+IF(AV4&gt;=Assumptions!$E$55,Assumptions!$C$55,0)</f>
        <v>5</v>
      </c>
      <c r="AW23" s="35" t="n">
        <f aca="false">IF(AW4&gt;=Assumptions!$E$46,Assumptions!$C$46,0)+IF(AW4&gt;=Assumptions!$E$47,Assumptions!$C$47,0)+IF(AW4&gt;=Assumptions!$E$48,Assumptions!$C$48,0)+IF(AW4&gt;=Assumptions!$E$49,Assumptions!$C$49,0)+IF(AW4&gt;=Assumptions!$E$50,Assumptions!$C$50,0)+IF(AW4&gt;=Assumptions!$E$51,Assumptions!$C$51,0)+IF(AW4&gt;=Assumptions!$E$52,Assumptions!$C$52,0)+IF(AW4&gt;=Assumptions!$E$53,Assumptions!$C$53,0)+IF(AW4&gt;=Assumptions!$E$54,Assumptions!$C$54,0)+IF(AW4&gt;=Assumptions!$E$55,Assumptions!$C$55,0)</f>
        <v>5</v>
      </c>
      <c r="AX23" s="35" t="n">
        <f aca="false">IF(AX4&gt;=Assumptions!$E$46,Assumptions!$C$46,0)+IF(AX4&gt;=Assumptions!$E$47,Assumptions!$C$47,0)+IF(AX4&gt;=Assumptions!$E$48,Assumptions!$C$48,0)+IF(AX4&gt;=Assumptions!$E$49,Assumptions!$C$49,0)+IF(AX4&gt;=Assumptions!$E$50,Assumptions!$C$50,0)+IF(AX4&gt;=Assumptions!$E$51,Assumptions!$C$51,0)+IF(AX4&gt;=Assumptions!$E$52,Assumptions!$C$52,0)+IF(AX4&gt;=Assumptions!$E$53,Assumptions!$C$53,0)+IF(AX4&gt;=Assumptions!$E$54,Assumptions!$C$54,0)+IF(AX4&gt;=Assumptions!$E$55,Assumptions!$C$55,0)</f>
        <v>5</v>
      </c>
      <c r="AY23" s="35" t="n">
        <f aca="false">IF(AY4&gt;=Assumptions!$E$46,Assumptions!$C$46,0)+IF(AY4&gt;=Assumptions!$E$47,Assumptions!$C$47,0)+IF(AY4&gt;=Assumptions!$E$48,Assumptions!$C$48,0)+IF(AY4&gt;=Assumptions!$E$49,Assumptions!$C$49,0)+IF(AY4&gt;=Assumptions!$E$50,Assumptions!$C$50,0)+IF(AY4&gt;=Assumptions!$E$51,Assumptions!$C$51,0)+IF(AY4&gt;=Assumptions!$E$52,Assumptions!$C$52,0)+IF(AY4&gt;=Assumptions!$E$53,Assumptions!$C$53,0)+IF(AY4&gt;=Assumptions!$E$54,Assumptions!$C$54,0)+IF(AY4&gt;=Assumptions!$E$55,Assumptions!$C$55,0)</f>
        <v>5</v>
      </c>
      <c r="AZ23" s="35" t="n">
        <f aca="false">IF(AZ4&gt;=Assumptions!$E$46,Assumptions!$C$46,0)+IF(AZ4&gt;=Assumptions!$E$47,Assumptions!$C$47,0)+IF(AZ4&gt;=Assumptions!$E$48,Assumptions!$C$48,0)+IF(AZ4&gt;=Assumptions!$E$49,Assumptions!$C$49,0)+IF(AZ4&gt;=Assumptions!$E$50,Assumptions!$C$50,0)+IF(AZ4&gt;=Assumptions!$E$51,Assumptions!$C$51,0)+IF(AZ4&gt;=Assumptions!$E$52,Assumptions!$C$52,0)+IF(AZ4&gt;=Assumptions!$E$53,Assumptions!$C$53,0)+IF(AZ4&gt;=Assumptions!$E$54,Assumptions!$C$54,0)+IF(AZ4&gt;=Assumptions!$E$55,Assumptions!$C$55,0)</f>
        <v>5</v>
      </c>
      <c r="BA23" s="35" t="n">
        <f aca="false">IF(BA4&gt;=Assumptions!$E$46,Assumptions!$C$46,0)+IF(BA4&gt;=Assumptions!$E$47,Assumptions!$C$47,0)+IF(BA4&gt;=Assumptions!$E$48,Assumptions!$C$48,0)+IF(BA4&gt;=Assumptions!$E$49,Assumptions!$C$49,0)+IF(BA4&gt;=Assumptions!$E$50,Assumptions!$C$50,0)+IF(BA4&gt;=Assumptions!$E$51,Assumptions!$C$51,0)+IF(BA4&gt;=Assumptions!$E$52,Assumptions!$C$52,0)+IF(BA4&gt;=Assumptions!$E$53,Assumptions!$C$53,0)+IF(BA4&gt;=Assumptions!$E$54,Assumptions!$C$54,0)+IF(BA4&gt;=Assumptions!$E$55,Assumptions!$C$55,0)</f>
        <v>5</v>
      </c>
      <c r="BB23" s="35" t="n">
        <f aca="false">IF(BB4&gt;=Assumptions!$E$46,Assumptions!$C$46,0)+IF(BB4&gt;=Assumptions!$E$47,Assumptions!$C$47,0)+IF(BB4&gt;=Assumptions!$E$48,Assumptions!$C$48,0)+IF(BB4&gt;=Assumptions!$E$49,Assumptions!$C$49,0)+IF(BB4&gt;=Assumptions!$E$50,Assumptions!$C$50,0)+IF(BB4&gt;=Assumptions!$E$51,Assumptions!$C$51,0)+IF(BB4&gt;=Assumptions!$E$52,Assumptions!$C$52,0)+IF(BB4&gt;=Assumptions!$E$53,Assumptions!$C$53,0)+IF(BB4&gt;=Assumptions!$E$54,Assumptions!$C$54,0)+IF(BB4&gt;=Assumptions!$E$55,Assumptions!$C$55,0)</f>
        <v>5</v>
      </c>
      <c r="BC23" s="35" t="n">
        <f aca="false">IF(BC4&gt;=Assumptions!$E$46,Assumptions!$C$46,0)+IF(BC4&gt;=Assumptions!$E$47,Assumptions!$C$47,0)+IF(BC4&gt;=Assumptions!$E$48,Assumptions!$C$48,0)+IF(BC4&gt;=Assumptions!$E$49,Assumptions!$C$49,0)+IF(BC4&gt;=Assumptions!$E$50,Assumptions!$C$50,0)+IF(BC4&gt;=Assumptions!$E$51,Assumptions!$C$51,0)+IF(BC4&gt;=Assumptions!$E$52,Assumptions!$C$52,0)+IF(BC4&gt;=Assumptions!$E$53,Assumptions!$C$53,0)+IF(BC4&gt;=Assumptions!$E$54,Assumptions!$C$54,0)+IF(BC4&gt;=Assumptions!$E$55,Assumptions!$C$55,0)</f>
        <v>5</v>
      </c>
      <c r="BD23" s="35" t="n">
        <f aca="false">IF(BD4&gt;=Assumptions!$E$46,Assumptions!$C$46,0)+IF(BD4&gt;=Assumptions!$E$47,Assumptions!$C$47,0)+IF(BD4&gt;=Assumptions!$E$48,Assumptions!$C$48,0)+IF(BD4&gt;=Assumptions!$E$49,Assumptions!$C$49,0)+IF(BD4&gt;=Assumptions!$E$50,Assumptions!$C$50,0)+IF(BD4&gt;=Assumptions!$E$51,Assumptions!$C$51,0)+IF(BD4&gt;=Assumptions!$E$52,Assumptions!$C$52,0)+IF(BD4&gt;=Assumptions!$E$53,Assumptions!$C$53,0)+IF(BD4&gt;=Assumptions!$E$54,Assumptions!$C$54,0)+IF(BD4&gt;=Assumptions!$E$55,Assumptions!$C$55,0)</f>
        <v>5</v>
      </c>
      <c r="BE23" s="35" t="n">
        <f aca="false">IF(BE4&gt;=Assumptions!$E$46,Assumptions!$C$46,0)+IF(BE4&gt;=Assumptions!$E$47,Assumptions!$C$47,0)+IF(BE4&gt;=Assumptions!$E$48,Assumptions!$C$48,0)+IF(BE4&gt;=Assumptions!$E$49,Assumptions!$C$49,0)+IF(BE4&gt;=Assumptions!$E$50,Assumptions!$C$50,0)+IF(BE4&gt;=Assumptions!$E$51,Assumptions!$C$51,0)+IF(BE4&gt;=Assumptions!$E$52,Assumptions!$C$52,0)+IF(BE4&gt;=Assumptions!$E$53,Assumptions!$C$53,0)+IF(BE4&gt;=Assumptions!$E$54,Assumptions!$C$54,0)+IF(BE4&gt;=Assumptions!$E$55,Assumptions!$C$55,0)</f>
        <v>5</v>
      </c>
      <c r="BF23" s="35" t="n">
        <f aca="false">IF(BF4&gt;=Assumptions!$E$46,Assumptions!$C$46,0)+IF(BF4&gt;=Assumptions!$E$47,Assumptions!$C$47,0)+IF(BF4&gt;=Assumptions!$E$48,Assumptions!$C$48,0)+IF(BF4&gt;=Assumptions!$E$49,Assumptions!$C$49,0)+IF(BF4&gt;=Assumptions!$E$50,Assumptions!$C$50,0)+IF(BF4&gt;=Assumptions!$E$51,Assumptions!$C$51,0)+IF(BF4&gt;=Assumptions!$E$52,Assumptions!$C$52,0)+IF(BF4&gt;=Assumptions!$E$53,Assumptions!$C$53,0)+IF(BF4&gt;=Assumptions!$E$54,Assumptions!$C$54,0)+IF(BF4&gt;=Assumptions!$E$55,Assumptions!$C$55,0)</f>
        <v>5</v>
      </c>
      <c r="BG23" s="35" t="n">
        <f aca="false">IF(BG4&gt;=Assumptions!$E$46,Assumptions!$C$46,0)+IF(BG4&gt;=Assumptions!$E$47,Assumptions!$C$47,0)+IF(BG4&gt;=Assumptions!$E$48,Assumptions!$C$48,0)+IF(BG4&gt;=Assumptions!$E$49,Assumptions!$C$49,0)+IF(BG4&gt;=Assumptions!$E$50,Assumptions!$C$50,0)+IF(BG4&gt;=Assumptions!$E$51,Assumptions!$C$51,0)+IF(BG4&gt;=Assumptions!$E$52,Assumptions!$C$52,0)+IF(BG4&gt;=Assumptions!$E$53,Assumptions!$C$53,0)+IF(BG4&gt;=Assumptions!$E$54,Assumptions!$C$54,0)+IF(BG4&gt;=Assumptions!$E$55,Assumptions!$C$55,0)</f>
        <v>5</v>
      </c>
      <c r="BH23" s="35" t="n">
        <f aca="false">IF(BH4&gt;=Assumptions!$E$46,Assumptions!$C$46,0)+IF(BH4&gt;=Assumptions!$E$47,Assumptions!$C$47,0)+IF(BH4&gt;=Assumptions!$E$48,Assumptions!$C$48,0)+IF(BH4&gt;=Assumptions!$E$49,Assumptions!$C$49,0)+IF(BH4&gt;=Assumptions!$E$50,Assumptions!$C$50,0)+IF(BH4&gt;=Assumptions!$E$51,Assumptions!$C$51,0)+IF(BH4&gt;=Assumptions!$E$52,Assumptions!$C$52,0)+IF(BH4&gt;=Assumptions!$E$53,Assumptions!$C$53,0)+IF(BH4&gt;=Assumptions!$E$54,Assumptions!$C$54,0)+IF(BH4&gt;=Assumptions!$E$55,Assumptions!$C$55,0)</f>
        <v>5</v>
      </c>
      <c r="BI23" s="35" t="n">
        <f aca="false">IF(BI4&gt;=Assumptions!$E$46,Assumptions!$C$46,0)+IF(BI4&gt;=Assumptions!$E$47,Assumptions!$C$47,0)+IF(BI4&gt;=Assumptions!$E$48,Assumptions!$C$48,0)+IF(BI4&gt;=Assumptions!$E$49,Assumptions!$C$49,0)+IF(BI4&gt;=Assumptions!$E$50,Assumptions!$C$50,0)+IF(BI4&gt;=Assumptions!$E$51,Assumptions!$C$51,0)+IF(BI4&gt;=Assumptions!$E$52,Assumptions!$C$52,0)+IF(BI4&gt;=Assumptions!$E$53,Assumptions!$C$53,0)+IF(BI4&gt;=Assumptions!$E$54,Assumptions!$C$54,0)+IF(BI4&gt;=Assumptions!$E$55,Assumptions!$C$55,0)</f>
        <v>5</v>
      </c>
      <c r="BJ23" s="35" t="n">
        <f aca="false">IF(BJ4&gt;=Assumptions!$E$46,Assumptions!$C$46,0)+IF(BJ4&gt;=Assumptions!$E$47,Assumptions!$C$47,0)+IF(BJ4&gt;=Assumptions!$E$48,Assumptions!$C$48,0)+IF(BJ4&gt;=Assumptions!$E$49,Assumptions!$C$49,0)+IF(BJ4&gt;=Assumptions!$E$50,Assumptions!$C$50,0)+IF(BJ4&gt;=Assumptions!$E$51,Assumptions!$C$51,0)+IF(BJ4&gt;=Assumptions!$E$52,Assumptions!$C$52,0)+IF(BJ4&gt;=Assumptions!$E$53,Assumptions!$C$53,0)+IF(BJ4&gt;=Assumptions!$E$54,Assumptions!$C$54,0)+IF(BJ4&gt;=Assumptions!$E$55,Assumptions!$C$55,0)</f>
        <v>5</v>
      </c>
      <c r="BK23" s="36" t="n">
        <f aca="false">INDEX($C23:$BJ23,BK$5*12)</f>
        <v>4</v>
      </c>
      <c r="BL23" s="36" t="n">
        <f aca="false">INDEX($C23:$BJ23,BL$5*12)</f>
        <v>4</v>
      </c>
      <c r="BM23" s="36" t="n">
        <f aca="false">INDEX($C23:$BJ23,BM$5*12)</f>
        <v>5</v>
      </c>
      <c r="BN23" s="36" t="n">
        <f aca="false">INDEX($C23:$BJ23,BN$5*12)</f>
        <v>5</v>
      </c>
      <c r="BO23" s="36" t="n">
        <f aca="false">INDEX($C23:$BJ23,BO$5*12)</f>
        <v>5</v>
      </c>
    </row>
    <row r="24" customFormat="false" ht="15" hidden="false" customHeight="false" outlineLevel="0" collapsed="false">
      <c r="A24" s="18" t="s">
        <v>245</v>
      </c>
      <c r="B24" s="2"/>
      <c r="C24" s="24" t="n">
        <f aca="false">IF(Revenue!C32=0,0,C21/Revenue!C32)</f>
        <v>0.713888888888889</v>
      </c>
      <c r="D24" s="24" t="n">
        <f aca="false">IF(Revenue!D32=0,0,D21/Revenue!D32)</f>
        <v>0.594907407407407</v>
      </c>
      <c r="E24" s="24" t="n">
        <f aca="false">IF(Revenue!E32=0,0,E21/Revenue!E32)</f>
        <v>0.458928571428571</v>
      </c>
      <c r="F24" s="24" t="n">
        <f aca="false">IF(Revenue!F32=0,0,F21/Revenue!F32)</f>
        <v>0.382440476190476</v>
      </c>
      <c r="G24" s="24" t="n">
        <f aca="false">IF(Revenue!G32=0,0,G21/Revenue!G32)</f>
        <v>0.32449494949495</v>
      </c>
      <c r="H24" s="24" t="n">
        <f aca="false">IF(Revenue!H32=0,0,H21/Revenue!H32)</f>
        <v>0.292045454545455</v>
      </c>
      <c r="I24" s="24" t="n">
        <f aca="false">IF(Revenue!I32=0,0,I21/Revenue!I32)</f>
        <v>0.385970695970696</v>
      </c>
      <c r="J24" s="24" t="n">
        <f aca="false">IF(Revenue!J32=0,0,J21/Revenue!J32)</f>
        <v>0.405269230769231</v>
      </c>
      <c r="K24" s="24" t="n">
        <f aca="false">IF(Revenue!K32=0,0,K21/Revenue!K32)</f>
        <v>0.405269230769231</v>
      </c>
      <c r="L24" s="24" t="n">
        <f aca="false">IF(Revenue!L32=0,0,L21/Revenue!L32)</f>
        <v>0.405269230769231</v>
      </c>
      <c r="M24" s="24" t="n">
        <f aca="false">IF(Revenue!M32=0,0,M21/Revenue!M32)</f>
        <v>0.426599190283401</v>
      </c>
      <c r="N24" s="24" t="n">
        <f aca="false">IF(Revenue!N32=0,0,N21/Revenue!N32)</f>
        <v>0.426599190283401</v>
      </c>
      <c r="O24" s="24" t="n">
        <f aca="false">IF(Revenue!O32=0,0,O21/Revenue!O32)</f>
        <v>0.424523379254774</v>
      </c>
      <c r="P24" s="24" t="n">
        <f aca="false">IF(Revenue!P32=0,0,P21/Revenue!P32)</f>
        <v>0.424523379254774</v>
      </c>
      <c r="Q24" s="24" t="n">
        <f aca="false">IF(Revenue!Q32=0,0,Q21/Revenue!Q32)</f>
        <v>0.382071041329297</v>
      </c>
      <c r="R24" s="24" t="n">
        <f aca="false">IF(Revenue!R32=0,0,R21/Revenue!R32)</f>
        <v>0.363877182218378</v>
      </c>
      <c r="S24" s="24" t="n">
        <f aca="false">IF(Revenue!S32=0,0,S21/Revenue!S32)</f>
        <v>0.347337310299361</v>
      </c>
      <c r="T24" s="24" t="n">
        <f aca="false">IF(Revenue!T32=0,0,T21/Revenue!T32)</f>
        <v>0.347337310299361</v>
      </c>
      <c r="U24" s="24" t="n">
        <f aca="false">IF(Revenue!U32=0,0,U21/Revenue!U32)</f>
        <v>0.363877182218378</v>
      </c>
      <c r="V24" s="24" t="n">
        <f aca="false">IF(Revenue!V32=0,0,V21/Revenue!V32)</f>
        <v>0.382071041329297</v>
      </c>
      <c r="W24" s="24" t="n">
        <f aca="false">IF(Revenue!W32=0,0,W21/Revenue!W32)</f>
        <v>0.382071041329297</v>
      </c>
      <c r="X24" s="24" t="n">
        <f aca="false">IF(Revenue!X32=0,0,X21/Revenue!X32)</f>
        <v>0.382071041329297</v>
      </c>
      <c r="Y24" s="24" t="n">
        <f aca="false">IF(Revenue!Y32=0,0,Y21/Revenue!Y32)</f>
        <v>0.402180043504523</v>
      </c>
      <c r="Z24" s="24" t="n">
        <f aca="false">IF(Revenue!Z32=0,0,Z21/Revenue!Z32)</f>
        <v>0.402180043504523</v>
      </c>
      <c r="AA24" s="24" t="n">
        <f aca="false">IF(Revenue!AA32=0,0,AA21/Revenue!AA32)</f>
        <v>0.497681213132891</v>
      </c>
      <c r="AB24" s="24" t="n">
        <f aca="false">IF(Revenue!AB32=0,0,AB21/Revenue!AB32)</f>
        <v>0.497681213132891</v>
      </c>
      <c r="AC24" s="24" t="n">
        <f aca="false">IF(Revenue!AC32=0,0,AC21/Revenue!AC32)</f>
        <v>0.447913091819602</v>
      </c>
      <c r="AD24" s="24" t="n">
        <f aca="false">IF(Revenue!AD32=0,0,AD21/Revenue!AD32)</f>
        <v>0.42658389697105</v>
      </c>
      <c r="AE24" s="24" t="n">
        <f aca="false">IF(Revenue!AE32=0,0,AE21/Revenue!AE32)</f>
        <v>0.407193719836002</v>
      </c>
      <c r="AF24" s="24" t="n">
        <f aca="false">IF(Revenue!AF32=0,0,AF21/Revenue!AF32)</f>
        <v>0.407193719836002</v>
      </c>
      <c r="AG24" s="24" t="n">
        <f aca="false">IF(Revenue!AG32=0,0,AG21/Revenue!AG32)</f>
        <v>0.42658389697105</v>
      </c>
      <c r="AH24" s="24" t="n">
        <f aca="false">IF(Revenue!AH32=0,0,AH21/Revenue!AH32)</f>
        <v>0.447913091819602</v>
      </c>
      <c r="AI24" s="24" t="n">
        <f aca="false">IF(Revenue!AI32=0,0,AI21/Revenue!AI32)</f>
        <v>0.447913091819602</v>
      </c>
      <c r="AJ24" s="24" t="n">
        <f aca="false">IF(Revenue!AJ32=0,0,AJ21/Revenue!AJ32)</f>
        <v>0.447913091819602</v>
      </c>
      <c r="AK24" s="24" t="n">
        <f aca="false">IF(Revenue!AK32=0,0,AK21/Revenue!AK32)</f>
        <v>0.471487465073266</v>
      </c>
      <c r="AL24" s="24" t="n">
        <f aca="false">IF(Revenue!AL32=0,0,AL21/Revenue!AL32)</f>
        <v>0.471487465073266</v>
      </c>
      <c r="AM24" s="24" t="n">
        <f aca="false">IF(Revenue!AM32=0,0,AM21/Revenue!AM32)</f>
        <v>0.468894373404123</v>
      </c>
      <c r="AN24" s="24" t="n">
        <f aca="false">IF(Revenue!AN32=0,0,AN21/Revenue!AN32)</f>
        <v>0.468894373404123</v>
      </c>
      <c r="AO24" s="24" t="n">
        <f aca="false">IF(Revenue!AO32=0,0,AO21/Revenue!AO32)</f>
        <v>0.422004936063711</v>
      </c>
      <c r="AP24" s="24" t="n">
        <f aca="false">IF(Revenue!AP32=0,0,AP21/Revenue!AP32)</f>
        <v>0.40190946291782</v>
      </c>
      <c r="AQ24" s="24" t="n">
        <f aca="false">IF(Revenue!AQ32=0,0,AQ21/Revenue!AQ32)</f>
        <v>0.38364085096701</v>
      </c>
      <c r="AR24" s="24" t="n">
        <f aca="false">IF(Revenue!AR32=0,0,AR21/Revenue!AR32)</f>
        <v>0.38364085096701</v>
      </c>
      <c r="AS24" s="24" t="n">
        <f aca="false">IF(Revenue!AS32=0,0,AS21/Revenue!AS32)</f>
        <v>0.40190946291782</v>
      </c>
      <c r="AT24" s="24" t="n">
        <f aca="false">IF(Revenue!AT32=0,0,AT21/Revenue!AT32)</f>
        <v>0.422004936063711</v>
      </c>
      <c r="AU24" s="24" t="n">
        <f aca="false">IF(Revenue!AU32=0,0,AU21/Revenue!AU32)</f>
        <v>0.422004936063711</v>
      </c>
      <c r="AV24" s="24" t="n">
        <f aca="false">IF(Revenue!AV32=0,0,AV21/Revenue!AV32)</f>
        <v>0.422004936063711</v>
      </c>
      <c r="AW24" s="24" t="n">
        <f aca="false">IF(Revenue!AW32=0,0,AW21/Revenue!AW32)</f>
        <v>0.444215722172327</v>
      </c>
      <c r="AX24" s="24" t="n">
        <f aca="false">IF(Revenue!AX32=0,0,AX21/Revenue!AX32)</f>
        <v>0.444215722172327</v>
      </c>
      <c r="AY24" s="24" t="n">
        <f aca="false">IF(Revenue!AY32=0,0,AY21/Revenue!AY32)</f>
        <v>0.441628289744995</v>
      </c>
      <c r="AZ24" s="24" t="n">
        <f aca="false">IF(Revenue!AZ32=0,0,AZ21/Revenue!AZ32)</f>
        <v>0.441628289744995</v>
      </c>
      <c r="BA24" s="24" t="n">
        <f aca="false">IF(Revenue!BA32=0,0,BA21/Revenue!BA32)</f>
        <v>0.397465460770495</v>
      </c>
      <c r="BB24" s="24" t="n">
        <f aca="false">IF(Revenue!BB32=0,0,BB21/Revenue!BB32)</f>
        <v>0.378538534067138</v>
      </c>
      <c r="BC24" s="24" t="n">
        <f aca="false">IF(Revenue!BC32=0,0,BC21/Revenue!BC32)</f>
        <v>0.361332237064086</v>
      </c>
      <c r="BD24" s="24" t="n">
        <f aca="false">IF(Revenue!BD32=0,0,BD21/Revenue!BD32)</f>
        <v>0.361332237064086</v>
      </c>
      <c r="BE24" s="24" t="n">
        <f aca="false">IF(Revenue!BE32=0,0,BE21/Revenue!BE32)</f>
        <v>0.378538534067138</v>
      </c>
      <c r="BF24" s="24" t="n">
        <f aca="false">IF(Revenue!BF32=0,0,BF21/Revenue!BF32)</f>
        <v>0.397465460770495</v>
      </c>
      <c r="BG24" s="24" t="n">
        <f aca="false">IF(Revenue!BG32=0,0,BG21/Revenue!BG32)</f>
        <v>0.397465460770495</v>
      </c>
      <c r="BH24" s="24" t="n">
        <f aca="false">IF(Revenue!BH32=0,0,BH21/Revenue!BH32)</f>
        <v>0.397465460770495</v>
      </c>
      <c r="BI24" s="24" t="n">
        <f aca="false">IF(Revenue!BI32=0,0,BI21/Revenue!BI32)</f>
        <v>0.41838469554789</v>
      </c>
      <c r="BJ24" s="24" t="n">
        <f aca="false">IF(Revenue!BJ32=0,0,BJ21/Revenue!BJ32)</f>
        <v>0.41838469554789</v>
      </c>
      <c r="BK24" s="45" t="n">
        <f aca="false">IF(Revenue!BK32=0,0,BK21/Revenue!BK32)</f>
        <v>0.412404482934284</v>
      </c>
      <c r="BL24" s="45" t="n">
        <f aca="false">IF(Revenue!BL32=0,0,BL21/Revenue!BL32)</f>
        <v>0.382071041329297</v>
      </c>
      <c r="BM24" s="45" t="n">
        <f aca="false">IF(Revenue!BM32=0,0,BM21/Revenue!BM32)</f>
        <v>0.447913091819602</v>
      </c>
      <c r="BN24" s="45" t="n">
        <f aca="false">IF(Revenue!BN32=0,0,BN21/Revenue!BN32)</f>
        <v>0.422004936063711</v>
      </c>
      <c r="BO24" s="45" t="n">
        <f aca="false">IF(Revenue!BO32=0,0,BO21/Revenue!BO32)</f>
        <v>0.397465460770495</v>
      </c>
    </row>
  </sheetData>
  <printOptions headings="false" gridLines="false" gridLinesSet="true" horizontalCentered="false" verticalCentered="false"/>
  <pageMargins left="0.75" right="0.75" top="1" bottom="1" header="0.511811023622047" footer="0.511811023622047"/>
  <pageSetup paperSize="1" scale="100" fitToWidth="6" fitToHeight="1"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O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2" min="2" style="0" width="10"/>
    <col collapsed="false" customWidth="true" hidden="false" outlineLevel="0" max="62" min="3" style="0" width="11"/>
    <col collapsed="false" customWidth="true" hidden="false" outlineLevel="0" max="67" min="63" style="0" width="13"/>
  </cols>
  <sheetData>
    <row r="1" customFormat="false" ht="17.35" hidden="false" customHeight="false" outlineLevel="0" collapsed="false">
      <c r="A1" s="1" t="s">
        <v>246</v>
      </c>
    </row>
    <row r="2" customFormat="false" ht="15" hidden="false" customHeight="false" outlineLevel="0" collapsed="false">
      <c r="A2" s="2" t="s">
        <v>247</v>
      </c>
    </row>
    <row r="4" customFormat="false" ht="15" hidden="false" customHeight="false" outlineLevel="0" collapsed="false">
      <c r="A4" s="13" t="s">
        <v>216</v>
      </c>
      <c r="C4" s="28" t="n">
        <v>1</v>
      </c>
      <c r="D4" s="28" t="n">
        <v>2</v>
      </c>
      <c r="E4" s="28" t="n">
        <v>3</v>
      </c>
      <c r="F4" s="28" t="n">
        <v>4</v>
      </c>
      <c r="G4" s="28" t="n">
        <v>5</v>
      </c>
      <c r="H4" s="28" t="n">
        <v>6</v>
      </c>
      <c r="I4" s="28" t="n">
        <v>7</v>
      </c>
      <c r="J4" s="28" t="n">
        <v>8</v>
      </c>
      <c r="K4" s="28" t="n">
        <v>9</v>
      </c>
      <c r="L4" s="28" t="n">
        <v>10</v>
      </c>
      <c r="M4" s="28" t="n">
        <v>11</v>
      </c>
      <c r="N4" s="28" t="n">
        <v>12</v>
      </c>
      <c r="O4" s="28" t="n">
        <v>13</v>
      </c>
      <c r="P4" s="28" t="n">
        <v>14</v>
      </c>
      <c r="Q4" s="28" t="n">
        <v>15</v>
      </c>
      <c r="R4" s="28" t="n">
        <v>16</v>
      </c>
      <c r="S4" s="28" t="n">
        <v>17</v>
      </c>
      <c r="T4" s="28" t="n">
        <v>18</v>
      </c>
      <c r="U4" s="28" t="n">
        <v>19</v>
      </c>
      <c r="V4" s="28" t="n">
        <v>20</v>
      </c>
      <c r="W4" s="28" t="n">
        <v>21</v>
      </c>
      <c r="X4" s="28" t="n">
        <v>22</v>
      </c>
      <c r="Y4" s="28" t="n">
        <v>23</v>
      </c>
      <c r="Z4" s="28" t="n">
        <v>24</v>
      </c>
      <c r="AA4" s="28" t="n">
        <v>25</v>
      </c>
      <c r="AB4" s="28" t="n">
        <v>26</v>
      </c>
      <c r="AC4" s="28" t="n">
        <v>27</v>
      </c>
      <c r="AD4" s="28" t="n">
        <v>28</v>
      </c>
      <c r="AE4" s="28" t="n">
        <v>29</v>
      </c>
      <c r="AF4" s="28" t="n">
        <v>30</v>
      </c>
      <c r="AG4" s="28" t="n">
        <v>31</v>
      </c>
      <c r="AH4" s="28" t="n">
        <v>32</v>
      </c>
      <c r="AI4" s="28" t="n">
        <v>33</v>
      </c>
      <c r="AJ4" s="28" t="n">
        <v>34</v>
      </c>
      <c r="AK4" s="28" t="n">
        <v>35</v>
      </c>
      <c r="AL4" s="28" t="n">
        <v>36</v>
      </c>
      <c r="AM4" s="28" t="n">
        <v>37</v>
      </c>
      <c r="AN4" s="28" t="n">
        <v>38</v>
      </c>
      <c r="AO4" s="28" t="n">
        <v>39</v>
      </c>
      <c r="AP4" s="28" t="n">
        <v>40</v>
      </c>
      <c r="AQ4" s="28" t="n">
        <v>41</v>
      </c>
      <c r="AR4" s="28" t="n">
        <v>42</v>
      </c>
      <c r="AS4" s="28" t="n">
        <v>43</v>
      </c>
      <c r="AT4" s="28" t="n">
        <v>44</v>
      </c>
      <c r="AU4" s="28" t="n">
        <v>45</v>
      </c>
      <c r="AV4" s="28" t="n">
        <v>46</v>
      </c>
      <c r="AW4" s="28" t="n">
        <v>47</v>
      </c>
      <c r="AX4" s="28" t="n">
        <v>48</v>
      </c>
      <c r="AY4" s="28" t="n">
        <v>49</v>
      </c>
      <c r="AZ4" s="28" t="n">
        <v>50</v>
      </c>
      <c r="BA4" s="28" t="n">
        <v>51</v>
      </c>
      <c r="BB4" s="28" t="n">
        <v>52</v>
      </c>
      <c r="BC4" s="28" t="n">
        <v>53</v>
      </c>
      <c r="BD4" s="28" t="n">
        <v>54</v>
      </c>
      <c r="BE4" s="28" t="n">
        <v>55</v>
      </c>
      <c r="BF4" s="28" t="n">
        <v>56</v>
      </c>
      <c r="BG4" s="28" t="n">
        <v>57</v>
      </c>
      <c r="BH4" s="28" t="n">
        <v>58</v>
      </c>
      <c r="BI4" s="28" t="n">
        <v>59</v>
      </c>
      <c r="BJ4" s="28" t="n">
        <v>60</v>
      </c>
      <c r="BK4" s="29" t="s">
        <v>217</v>
      </c>
      <c r="BL4" s="29" t="s">
        <v>217</v>
      </c>
      <c r="BM4" s="29" t="s">
        <v>217</v>
      </c>
      <c r="BN4" s="29" t="s">
        <v>217</v>
      </c>
      <c r="BO4" s="29" t="s">
        <v>217</v>
      </c>
    </row>
    <row r="5" customFormat="false" ht="15" hidden="false" customHeight="false" outlineLevel="0" collapsed="false">
      <c r="A5" s="13" t="s">
        <v>218</v>
      </c>
      <c r="C5" s="30" t="n">
        <f aca="false">INT((C4-1)/12)+1</f>
        <v>1</v>
      </c>
      <c r="D5" s="30" t="n">
        <f aca="false">INT((D4-1)/12)+1</f>
        <v>1</v>
      </c>
      <c r="E5" s="30" t="n">
        <f aca="false">INT((E4-1)/12)+1</f>
        <v>1</v>
      </c>
      <c r="F5" s="30" t="n">
        <f aca="false">INT((F4-1)/12)+1</f>
        <v>1</v>
      </c>
      <c r="G5" s="30" t="n">
        <f aca="false">INT((G4-1)/12)+1</f>
        <v>1</v>
      </c>
      <c r="H5" s="30" t="n">
        <f aca="false">INT((H4-1)/12)+1</f>
        <v>1</v>
      </c>
      <c r="I5" s="30" t="n">
        <f aca="false">INT((I4-1)/12)+1</f>
        <v>1</v>
      </c>
      <c r="J5" s="30" t="n">
        <f aca="false">INT((J4-1)/12)+1</f>
        <v>1</v>
      </c>
      <c r="K5" s="30" t="n">
        <f aca="false">INT((K4-1)/12)+1</f>
        <v>1</v>
      </c>
      <c r="L5" s="30" t="n">
        <f aca="false">INT((L4-1)/12)+1</f>
        <v>1</v>
      </c>
      <c r="M5" s="30" t="n">
        <f aca="false">INT((M4-1)/12)+1</f>
        <v>1</v>
      </c>
      <c r="N5" s="30" t="n">
        <f aca="false">INT((N4-1)/12)+1</f>
        <v>1</v>
      </c>
      <c r="O5" s="30" t="n">
        <f aca="false">INT((O4-1)/12)+1</f>
        <v>2</v>
      </c>
      <c r="P5" s="30" t="n">
        <f aca="false">INT((P4-1)/12)+1</f>
        <v>2</v>
      </c>
      <c r="Q5" s="30" t="n">
        <f aca="false">INT((Q4-1)/12)+1</f>
        <v>2</v>
      </c>
      <c r="R5" s="30" t="n">
        <f aca="false">INT((R4-1)/12)+1</f>
        <v>2</v>
      </c>
      <c r="S5" s="30" t="n">
        <f aca="false">INT((S4-1)/12)+1</f>
        <v>2</v>
      </c>
      <c r="T5" s="30" t="n">
        <f aca="false">INT((T4-1)/12)+1</f>
        <v>2</v>
      </c>
      <c r="U5" s="30" t="n">
        <f aca="false">INT((U4-1)/12)+1</f>
        <v>2</v>
      </c>
      <c r="V5" s="30" t="n">
        <f aca="false">INT((V4-1)/12)+1</f>
        <v>2</v>
      </c>
      <c r="W5" s="30" t="n">
        <f aca="false">INT((W4-1)/12)+1</f>
        <v>2</v>
      </c>
      <c r="X5" s="30" t="n">
        <f aca="false">INT((X4-1)/12)+1</f>
        <v>2</v>
      </c>
      <c r="Y5" s="30" t="n">
        <f aca="false">INT((Y4-1)/12)+1</f>
        <v>2</v>
      </c>
      <c r="Z5" s="30" t="n">
        <f aca="false">INT((Z4-1)/12)+1</f>
        <v>2</v>
      </c>
      <c r="AA5" s="30" t="n">
        <f aca="false">INT((AA4-1)/12)+1</f>
        <v>3</v>
      </c>
      <c r="AB5" s="30" t="n">
        <f aca="false">INT((AB4-1)/12)+1</f>
        <v>3</v>
      </c>
      <c r="AC5" s="30" t="n">
        <f aca="false">INT((AC4-1)/12)+1</f>
        <v>3</v>
      </c>
      <c r="AD5" s="30" t="n">
        <f aca="false">INT((AD4-1)/12)+1</f>
        <v>3</v>
      </c>
      <c r="AE5" s="30" t="n">
        <f aca="false">INT((AE4-1)/12)+1</f>
        <v>3</v>
      </c>
      <c r="AF5" s="30" t="n">
        <f aca="false">INT((AF4-1)/12)+1</f>
        <v>3</v>
      </c>
      <c r="AG5" s="30" t="n">
        <f aca="false">INT((AG4-1)/12)+1</f>
        <v>3</v>
      </c>
      <c r="AH5" s="30" t="n">
        <f aca="false">INT((AH4-1)/12)+1</f>
        <v>3</v>
      </c>
      <c r="AI5" s="30" t="n">
        <f aca="false">INT((AI4-1)/12)+1</f>
        <v>3</v>
      </c>
      <c r="AJ5" s="30" t="n">
        <f aca="false">INT((AJ4-1)/12)+1</f>
        <v>3</v>
      </c>
      <c r="AK5" s="30" t="n">
        <f aca="false">INT((AK4-1)/12)+1</f>
        <v>3</v>
      </c>
      <c r="AL5" s="30" t="n">
        <f aca="false">INT((AL4-1)/12)+1</f>
        <v>3</v>
      </c>
      <c r="AM5" s="30" t="n">
        <f aca="false">INT((AM4-1)/12)+1</f>
        <v>4</v>
      </c>
      <c r="AN5" s="30" t="n">
        <f aca="false">INT((AN4-1)/12)+1</f>
        <v>4</v>
      </c>
      <c r="AO5" s="30" t="n">
        <f aca="false">INT((AO4-1)/12)+1</f>
        <v>4</v>
      </c>
      <c r="AP5" s="30" t="n">
        <f aca="false">INT((AP4-1)/12)+1</f>
        <v>4</v>
      </c>
      <c r="AQ5" s="30" t="n">
        <f aca="false">INT((AQ4-1)/12)+1</f>
        <v>4</v>
      </c>
      <c r="AR5" s="30" t="n">
        <f aca="false">INT((AR4-1)/12)+1</f>
        <v>4</v>
      </c>
      <c r="AS5" s="30" t="n">
        <f aca="false">INT((AS4-1)/12)+1</f>
        <v>4</v>
      </c>
      <c r="AT5" s="30" t="n">
        <f aca="false">INT((AT4-1)/12)+1</f>
        <v>4</v>
      </c>
      <c r="AU5" s="30" t="n">
        <f aca="false">INT((AU4-1)/12)+1</f>
        <v>4</v>
      </c>
      <c r="AV5" s="30" t="n">
        <f aca="false">INT((AV4-1)/12)+1</f>
        <v>4</v>
      </c>
      <c r="AW5" s="30" t="n">
        <f aca="false">INT((AW4-1)/12)+1</f>
        <v>4</v>
      </c>
      <c r="AX5" s="30" t="n">
        <f aca="false">INT((AX4-1)/12)+1</f>
        <v>4</v>
      </c>
      <c r="AY5" s="30" t="n">
        <f aca="false">INT((AY4-1)/12)+1</f>
        <v>5</v>
      </c>
      <c r="AZ5" s="30" t="n">
        <f aca="false">INT((AZ4-1)/12)+1</f>
        <v>5</v>
      </c>
      <c r="BA5" s="30" t="n">
        <f aca="false">INT((BA4-1)/12)+1</f>
        <v>5</v>
      </c>
      <c r="BB5" s="30" t="n">
        <f aca="false">INT((BB4-1)/12)+1</f>
        <v>5</v>
      </c>
      <c r="BC5" s="30" t="n">
        <f aca="false">INT((BC4-1)/12)+1</f>
        <v>5</v>
      </c>
      <c r="BD5" s="30" t="n">
        <f aca="false">INT((BD4-1)/12)+1</f>
        <v>5</v>
      </c>
      <c r="BE5" s="30" t="n">
        <f aca="false">INT((BE4-1)/12)+1</f>
        <v>5</v>
      </c>
      <c r="BF5" s="30" t="n">
        <f aca="false">INT((BF4-1)/12)+1</f>
        <v>5</v>
      </c>
      <c r="BG5" s="30" t="n">
        <f aca="false">INT((BG4-1)/12)+1</f>
        <v>5</v>
      </c>
      <c r="BH5" s="30" t="n">
        <f aca="false">INT((BH4-1)/12)+1</f>
        <v>5</v>
      </c>
      <c r="BI5" s="30" t="n">
        <f aca="false">INT((BI4-1)/12)+1</f>
        <v>5</v>
      </c>
      <c r="BJ5" s="30" t="n">
        <f aca="false">INT((BJ4-1)/12)+1</f>
        <v>5</v>
      </c>
      <c r="BK5" s="28" t="n">
        <v>1</v>
      </c>
      <c r="BL5" s="28" t="n">
        <v>2</v>
      </c>
      <c r="BM5" s="28" t="n">
        <v>3</v>
      </c>
      <c r="BN5" s="28" t="n">
        <v>4</v>
      </c>
      <c r="BO5" s="28" t="n">
        <v>5</v>
      </c>
    </row>
    <row r="6" customFormat="false" ht="15" hidden="false" customHeight="false" outlineLevel="0" collapsed="false">
      <c r="A6" s="5" t="s">
        <v>219</v>
      </c>
      <c r="B6" s="5" t="s">
        <v>74</v>
      </c>
      <c r="C6" s="31" t="n">
        <f aca="false">EDATE(Assumptions!$C$7,C4-1)</f>
        <v>46388</v>
      </c>
      <c r="D6" s="31" t="n">
        <f aca="false">EDATE(Assumptions!$C$7,D4-1)</f>
        <v>46419</v>
      </c>
      <c r="E6" s="31" t="n">
        <f aca="false">EDATE(Assumptions!$C$7,E4-1)</f>
        <v>46447</v>
      </c>
      <c r="F6" s="31" t="n">
        <f aca="false">EDATE(Assumptions!$C$7,F4-1)</f>
        <v>46478</v>
      </c>
      <c r="G6" s="31" t="n">
        <f aca="false">EDATE(Assumptions!$C$7,G4-1)</f>
        <v>46508</v>
      </c>
      <c r="H6" s="31" t="n">
        <f aca="false">EDATE(Assumptions!$C$7,H4-1)</f>
        <v>46539</v>
      </c>
      <c r="I6" s="31" t="n">
        <f aca="false">EDATE(Assumptions!$C$7,I4-1)</f>
        <v>46569</v>
      </c>
      <c r="J6" s="31" t="n">
        <f aca="false">EDATE(Assumptions!$C$7,J4-1)</f>
        <v>46600</v>
      </c>
      <c r="K6" s="31" t="n">
        <f aca="false">EDATE(Assumptions!$C$7,K4-1)</f>
        <v>46631</v>
      </c>
      <c r="L6" s="31" t="n">
        <f aca="false">EDATE(Assumptions!$C$7,L4-1)</f>
        <v>46661</v>
      </c>
      <c r="M6" s="31" t="n">
        <f aca="false">EDATE(Assumptions!$C$7,M4-1)</f>
        <v>46692</v>
      </c>
      <c r="N6" s="31" t="n">
        <f aca="false">EDATE(Assumptions!$C$7,N4-1)</f>
        <v>46722</v>
      </c>
      <c r="O6" s="31" t="n">
        <f aca="false">EDATE(Assumptions!$C$7,O4-1)</f>
        <v>46753</v>
      </c>
      <c r="P6" s="31" t="n">
        <f aca="false">EDATE(Assumptions!$C$7,P4-1)</f>
        <v>46784</v>
      </c>
      <c r="Q6" s="31" t="n">
        <f aca="false">EDATE(Assumptions!$C$7,Q4-1)</f>
        <v>46813</v>
      </c>
      <c r="R6" s="31" t="n">
        <f aca="false">EDATE(Assumptions!$C$7,R4-1)</f>
        <v>46844</v>
      </c>
      <c r="S6" s="31" t="n">
        <f aca="false">EDATE(Assumptions!$C$7,S4-1)</f>
        <v>46874</v>
      </c>
      <c r="T6" s="31" t="n">
        <f aca="false">EDATE(Assumptions!$C$7,T4-1)</f>
        <v>46905</v>
      </c>
      <c r="U6" s="31" t="n">
        <f aca="false">EDATE(Assumptions!$C$7,U4-1)</f>
        <v>46935</v>
      </c>
      <c r="V6" s="31" t="n">
        <f aca="false">EDATE(Assumptions!$C$7,V4-1)</f>
        <v>46966</v>
      </c>
      <c r="W6" s="31" t="n">
        <f aca="false">EDATE(Assumptions!$C$7,W4-1)</f>
        <v>46997</v>
      </c>
      <c r="X6" s="31" t="n">
        <f aca="false">EDATE(Assumptions!$C$7,X4-1)</f>
        <v>47027</v>
      </c>
      <c r="Y6" s="31" t="n">
        <f aca="false">EDATE(Assumptions!$C$7,Y4-1)</f>
        <v>47058</v>
      </c>
      <c r="Z6" s="31" t="n">
        <f aca="false">EDATE(Assumptions!$C$7,Z4-1)</f>
        <v>47088</v>
      </c>
      <c r="AA6" s="31" t="n">
        <f aca="false">EDATE(Assumptions!$C$7,AA4-1)</f>
        <v>47119</v>
      </c>
      <c r="AB6" s="31" t="n">
        <f aca="false">EDATE(Assumptions!$C$7,AB4-1)</f>
        <v>47150</v>
      </c>
      <c r="AC6" s="31" t="n">
        <f aca="false">EDATE(Assumptions!$C$7,AC4-1)</f>
        <v>47178</v>
      </c>
      <c r="AD6" s="31" t="n">
        <f aca="false">EDATE(Assumptions!$C$7,AD4-1)</f>
        <v>47209</v>
      </c>
      <c r="AE6" s="31" t="n">
        <f aca="false">EDATE(Assumptions!$C$7,AE4-1)</f>
        <v>47239</v>
      </c>
      <c r="AF6" s="31" t="n">
        <f aca="false">EDATE(Assumptions!$C$7,AF4-1)</f>
        <v>47270</v>
      </c>
      <c r="AG6" s="31" t="n">
        <f aca="false">EDATE(Assumptions!$C$7,AG4-1)</f>
        <v>47300</v>
      </c>
      <c r="AH6" s="31" t="n">
        <f aca="false">EDATE(Assumptions!$C$7,AH4-1)</f>
        <v>47331</v>
      </c>
      <c r="AI6" s="31" t="n">
        <f aca="false">EDATE(Assumptions!$C$7,AI4-1)</f>
        <v>47362</v>
      </c>
      <c r="AJ6" s="31" t="n">
        <f aca="false">EDATE(Assumptions!$C$7,AJ4-1)</f>
        <v>47392</v>
      </c>
      <c r="AK6" s="31" t="n">
        <f aca="false">EDATE(Assumptions!$C$7,AK4-1)</f>
        <v>47423</v>
      </c>
      <c r="AL6" s="31" t="n">
        <f aca="false">EDATE(Assumptions!$C$7,AL4-1)</f>
        <v>47453</v>
      </c>
      <c r="AM6" s="31" t="n">
        <f aca="false">EDATE(Assumptions!$C$7,AM4-1)</f>
        <v>47484</v>
      </c>
      <c r="AN6" s="31" t="n">
        <f aca="false">EDATE(Assumptions!$C$7,AN4-1)</f>
        <v>47515</v>
      </c>
      <c r="AO6" s="31" t="n">
        <f aca="false">EDATE(Assumptions!$C$7,AO4-1)</f>
        <v>47543</v>
      </c>
      <c r="AP6" s="31" t="n">
        <f aca="false">EDATE(Assumptions!$C$7,AP4-1)</f>
        <v>47574</v>
      </c>
      <c r="AQ6" s="31" t="n">
        <f aca="false">EDATE(Assumptions!$C$7,AQ4-1)</f>
        <v>47604</v>
      </c>
      <c r="AR6" s="31" t="n">
        <f aca="false">EDATE(Assumptions!$C$7,AR4-1)</f>
        <v>47635</v>
      </c>
      <c r="AS6" s="31" t="n">
        <f aca="false">EDATE(Assumptions!$C$7,AS4-1)</f>
        <v>47665</v>
      </c>
      <c r="AT6" s="31" t="n">
        <f aca="false">EDATE(Assumptions!$C$7,AT4-1)</f>
        <v>47696</v>
      </c>
      <c r="AU6" s="31" t="n">
        <f aca="false">EDATE(Assumptions!$C$7,AU4-1)</f>
        <v>47727</v>
      </c>
      <c r="AV6" s="31" t="n">
        <f aca="false">EDATE(Assumptions!$C$7,AV4-1)</f>
        <v>47757</v>
      </c>
      <c r="AW6" s="31" t="n">
        <f aca="false">EDATE(Assumptions!$C$7,AW4-1)</f>
        <v>47788</v>
      </c>
      <c r="AX6" s="31" t="n">
        <f aca="false">EDATE(Assumptions!$C$7,AX4-1)</f>
        <v>47818</v>
      </c>
      <c r="AY6" s="31" t="n">
        <f aca="false">EDATE(Assumptions!$C$7,AY4-1)</f>
        <v>47849</v>
      </c>
      <c r="AZ6" s="31" t="n">
        <f aca="false">EDATE(Assumptions!$C$7,AZ4-1)</f>
        <v>47880</v>
      </c>
      <c r="BA6" s="31" t="n">
        <f aca="false">EDATE(Assumptions!$C$7,BA4-1)</f>
        <v>47908</v>
      </c>
      <c r="BB6" s="31" t="n">
        <f aca="false">EDATE(Assumptions!$C$7,BB4-1)</f>
        <v>47939</v>
      </c>
      <c r="BC6" s="31" t="n">
        <f aca="false">EDATE(Assumptions!$C$7,BC4-1)</f>
        <v>47969</v>
      </c>
      <c r="BD6" s="31" t="n">
        <f aca="false">EDATE(Assumptions!$C$7,BD4-1)</f>
        <v>48000</v>
      </c>
      <c r="BE6" s="31" t="n">
        <f aca="false">EDATE(Assumptions!$C$7,BE4-1)</f>
        <v>48030</v>
      </c>
      <c r="BF6" s="31" t="n">
        <f aca="false">EDATE(Assumptions!$C$7,BF4-1)</f>
        <v>48061</v>
      </c>
      <c r="BG6" s="31" t="n">
        <f aca="false">EDATE(Assumptions!$C$7,BG4-1)</f>
        <v>48092</v>
      </c>
      <c r="BH6" s="31" t="n">
        <f aca="false">EDATE(Assumptions!$C$7,BH4-1)</f>
        <v>48122</v>
      </c>
      <c r="BI6" s="31" t="n">
        <f aca="false">EDATE(Assumptions!$C$7,BI4-1)</f>
        <v>48153</v>
      </c>
      <c r="BJ6" s="31" t="n">
        <f aca="false">EDATE(Assumptions!$C$7,BJ4-1)</f>
        <v>48183</v>
      </c>
      <c r="BK6" s="32" t="s">
        <v>54</v>
      </c>
      <c r="BL6" s="32" t="s">
        <v>55</v>
      </c>
      <c r="BM6" s="32" t="s">
        <v>56</v>
      </c>
      <c r="BN6" s="32" t="s">
        <v>220</v>
      </c>
      <c r="BO6" s="32" t="s">
        <v>221</v>
      </c>
    </row>
    <row r="7" customFormat="false" ht="15" hidden="false" customHeight="false" outlineLevel="0" collapsed="false">
      <c r="A7" s="18" t="s">
        <v>248</v>
      </c>
      <c r="B7" s="2"/>
      <c r="C7" s="44" t="n">
        <f aca="false">Revenue!C32</f>
        <v>17550</v>
      </c>
      <c r="D7" s="44" t="n">
        <f aca="false">Revenue!D32</f>
        <v>21060</v>
      </c>
      <c r="E7" s="44" t="n">
        <f aca="false">Revenue!E32</f>
        <v>27300</v>
      </c>
      <c r="F7" s="44" t="n">
        <f aca="false">Revenue!F32</f>
        <v>32760</v>
      </c>
      <c r="G7" s="44" t="n">
        <f aca="false">Revenue!G32</f>
        <v>38610</v>
      </c>
      <c r="H7" s="44" t="n">
        <f aca="false">Revenue!H32</f>
        <v>42900</v>
      </c>
      <c r="I7" s="44" t="n">
        <f aca="false">Revenue!I32</f>
        <v>40950</v>
      </c>
      <c r="J7" s="44" t="n">
        <f aca="false">Revenue!J32</f>
        <v>39000</v>
      </c>
      <c r="K7" s="44" t="n">
        <f aca="false">Revenue!K32</f>
        <v>39000</v>
      </c>
      <c r="L7" s="44" t="n">
        <f aca="false">Revenue!L32</f>
        <v>39000</v>
      </c>
      <c r="M7" s="44" t="n">
        <f aca="false">Revenue!M32</f>
        <v>37050</v>
      </c>
      <c r="N7" s="44" t="n">
        <f aca="false">Revenue!N32</f>
        <v>37050</v>
      </c>
      <c r="O7" s="44" t="n">
        <f aca="false">Revenue!O32</f>
        <v>38348.1</v>
      </c>
      <c r="P7" s="44" t="n">
        <f aca="false">Revenue!P32</f>
        <v>38348.1</v>
      </c>
      <c r="Q7" s="44" t="n">
        <f aca="false">Revenue!Q32</f>
        <v>42609</v>
      </c>
      <c r="R7" s="44" t="n">
        <f aca="false">Revenue!R32</f>
        <v>44739.45</v>
      </c>
      <c r="S7" s="44" t="n">
        <f aca="false">Revenue!S32</f>
        <v>46869.9</v>
      </c>
      <c r="T7" s="44" t="n">
        <f aca="false">Revenue!T32</f>
        <v>46869.9</v>
      </c>
      <c r="U7" s="44" t="n">
        <f aca="false">Revenue!U32</f>
        <v>44739.45</v>
      </c>
      <c r="V7" s="44" t="n">
        <f aca="false">Revenue!V32</f>
        <v>42609</v>
      </c>
      <c r="W7" s="44" t="n">
        <f aca="false">Revenue!W32</f>
        <v>42609</v>
      </c>
      <c r="X7" s="44" t="n">
        <f aca="false">Revenue!X32</f>
        <v>42609</v>
      </c>
      <c r="Y7" s="44" t="n">
        <f aca="false">Revenue!Y32</f>
        <v>40478.55</v>
      </c>
      <c r="Z7" s="44" t="n">
        <f aca="false">Revenue!Z32</f>
        <v>40478.55</v>
      </c>
      <c r="AA7" s="44" t="n">
        <f aca="false">Revenue!AA32</f>
        <v>41910.00966</v>
      </c>
      <c r="AB7" s="44" t="n">
        <f aca="false">Revenue!AB32</f>
        <v>41910.00966</v>
      </c>
      <c r="AC7" s="44" t="n">
        <f aca="false">Revenue!AC32</f>
        <v>46566.6774</v>
      </c>
      <c r="AD7" s="44" t="n">
        <f aca="false">Revenue!AD32</f>
        <v>48895.01127</v>
      </c>
      <c r="AE7" s="44" t="n">
        <f aca="false">Revenue!AE32</f>
        <v>51223.34514</v>
      </c>
      <c r="AF7" s="44" t="n">
        <f aca="false">Revenue!AF32</f>
        <v>51223.34514</v>
      </c>
      <c r="AG7" s="44" t="n">
        <f aca="false">Revenue!AG32</f>
        <v>48895.01127</v>
      </c>
      <c r="AH7" s="44" t="n">
        <f aca="false">Revenue!AH32</f>
        <v>46566.6774</v>
      </c>
      <c r="AI7" s="44" t="n">
        <f aca="false">Revenue!AI32</f>
        <v>46566.6774</v>
      </c>
      <c r="AJ7" s="44" t="n">
        <f aca="false">Revenue!AJ32</f>
        <v>46566.6774</v>
      </c>
      <c r="AK7" s="44" t="n">
        <f aca="false">Revenue!AK32</f>
        <v>44238.34353</v>
      </c>
      <c r="AL7" s="44" t="n">
        <f aca="false">Revenue!AL32</f>
        <v>44238.34353</v>
      </c>
      <c r="AM7" s="44" t="n">
        <f aca="false">Revenue!AM32</f>
        <v>45817.481296548</v>
      </c>
      <c r="AN7" s="44" t="n">
        <f aca="false">Revenue!AN32</f>
        <v>45817.481296548</v>
      </c>
      <c r="AO7" s="44" t="n">
        <f aca="false">Revenue!AO32</f>
        <v>50908.31255172</v>
      </c>
      <c r="AP7" s="44" t="n">
        <f aca="false">Revenue!AP32</f>
        <v>53453.728179306</v>
      </c>
      <c r="AQ7" s="44" t="n">
        <f aca="false">Revenue!AQ32</f>
        <v>55999.143806892</v>
      </c>
      <c r="AR7" s="44" t="n">
        <f aca="false">Revenue!AR32</f>
        <v>55999.143806892</v>
      </c>
      <c r="AS7" s="44" t="n">
        <f aca="false">Revenue!AS32</f>
        <v>53453.728179306</v>
      </c>
      <c r="AT7" s="44" t="n">
        <f aca="false">Revenue!AT32</f>
        <v>50908.31255172</v>
      </c>
      <c r="AU7" s="44" t="n">
        <f aca="false">Revenue!AU32</f>
        <v>50908.31255172</v>
      </c>
      <c r="AV7" s="44" t="n">
        <f aca="false">Revenue!AV32</f>
        <v>50908.31255172</v>
      </c>
      <c r="AW7" s="44" t="n">
        <f aca="false">Revenue!AW32</f>
        <v>48362.896924134</v>
      </c>
      <c r="AX7" s="44" t="n">
        <f aca="false">Revenue!AX32</f>
        <v>48362.896924134</v>
      </c>
      <c r="AY7" s="44" t="n">
        <f aca="false">Revenue!AY32</f>
        <v>50105.6351525447</v>
      </c>
      <c r="AZ7" s="44" t="n">
        <f aca="false">Revenue!AZ32</f>
        <v>50105.6351525447</v>
      </c>
      <c r="BA7" s="44" t="n">
        <f aca="false">Revenue!BA32</f>
        <v>55672.9279472719</v>
      </c>
      <c r="BB7" s="44" t="n">
        <f aca="false">Revenue!BB32</f>
        <v>58456.5743446355</v>
      </c>
      <c r="BC7" s="44" t="n">
        <f aca="false">Revenue!BC32</f>
        <v>61240.2207419991</v>
      </c>
      <c r="BD7" s="44" t="n">
        <f aca="false">Revenue!BD32</f>
        <v>61240.2207419991</v>
      </c>
      <c r="BE7" s="44" t="n">
        <f aca="false">Revenue!BE32</f>
        <v>58456.5743446355</v>
      </c>
      <c r="BF7" s="44" t="n">
        <f aca="false">Revenue!BF32</f>
        <v>55672.9279472719</v>
      </c>
      <c r="BG7" s="44" t="n">
        <f aca="false">Revenue!BG32</f>
        <v>55672.9279472719</v>
      </c>
      <c r="BH7" s="44" t="n">
        <f aca="false">Revenue!BH32</f>
        <v>55672.9279472719</v>
      </c>
      <c r="BI7" s="44" t="n">
        <f aca="false">Revenue!BI32</f>
        <v>52889.2815499083</v>
      </c>
      <c r="BJ7" s="44" t="n">
        <f aca="false">Revenue!BJ32</f>
        <v>52889.2815499083</v>
      </c>
      <c r="BK7" s="43" t="n">
        <f aca="false">SUMIF($C$5:$BJ$5,BK$5,$C7:$BJ7)</f>
        <v>412230</v>
      </c>
      <c r="BL7" s="43" t="n">
        <f aca="false">SUMIF($C$5:$BJ$5,BL$5,$C7:$BJ7)</f>
        <v>511308</v>
      </c>
      <c r="BM7" s="43" t="n">
        <f aca="false">SUMIF($C$5:$BJ$5,BM$5,$C7:$BJ7)</f>
        <v>558800.1288</v>
      </c>
      <c r="BN7" s="43" t="n">
        <f aca="false">SUMIF($C$5:$BJ$5,BN$5,$C7:$BJ7)</f>
        <v>610899.75062064</v>
      </c>
      <c r="BO7" s="43" t="n">
        <f aca="false">SUMIF($C$5:$BJ$5,BO$5,$C7:$BJ7)</f>
        <v>668075.135367263</v>
      </c>
    </row>
    <row r="8" customFormat="false" ht="15" hidden="false" customHeight="false" outlineLevel="0" collapsed="false">
      <c r="A8" s="18" t="s">
        <v>249</v>
      </c>
      <c r="B8" s="2"/>
      <c r="C8" s="46" t="n">
        <f aca="false">(1+Assumptions!$C$90)^(C5-1)</f>
        <v>1</v>
      </c>
      <c r="D8" s="46" t="n">
        <f aca="false">(1+Assumptions!$C$90)^(D5-1)</f>
        <v>1</v>
      </c>
      <c r="E8" s="46" t="n">
        <f aca="false">(1+Assumptions!$C$90)^(E5-1)</f>
        <v>1</v>
      </c>
      <c r="F8" s="46" t="n">
        <f aca="false">(1+Assumptions!$C$90)^(F5-1)</f>
        <v>1</v>
      </c>
      <c r="G8" s="46" t="n">
        <f aca="false">(1+Assumptions!$C$90)^(G5-1)</f>
        <v>1</v>
      </c>
      <c r="H8" s="46" t="n">
        <f aca="false">(1+Assumptions!$C$90)^(H5-1)</f>
        <v>1</v>
      </c>
      <c r="I8" s="46" t="n">
        <f aca="false">(1+Assumptions!$C$90)^(I5-1)</f>
        <v>1</v>
      </c>
      <c r="J8" s="46" t="n">
        <f aca="false">(1+Assumptions!$C$90)^(J5-1)</f>
        <v>1</v>
      </c>
      <c r="K8" s="46" t="n">
        <f aca="false">(1+Assumptions!$C$90)^(K5-1)</f>
        <v>1</v>
      </c>
      <c r="L8" s="46" t="n">
        <f aca="false">(1+Assumptions!$C$90)^(L5-1)</f>
        <v>1</v>
      </c>
      <c r="M8" s="46" t="n">
        <f aca="false">(1+Assumptions!$C$90)^(M5-1)</f>
        <v>1</v>
      </c>
      <c r="N8" s="46" t="n">
        <f aca="false">(1+Assumptions!$C$90)^(N5-1)</f>
        <v>1</v>
      </c>
      <c r="O8" s="46" t="n">
        <f aca="false">(1+Assumptions!$C$90)^(O5-1)</f>
        <v>1.03</v>
      </c>
      <c r="P8" s="46" t="n">
        <f aca="false">(1+Assumptions!$C$90)^(P5-1)</f>
        <v>1.03</v>
      </c>
      <c r="Q8" s="46" t="n">
        <f aca="false">(1+Assumptions!$C$90)^(Q5-1)</f>
        <v>1.03</v>
      </c>
      <c r="R8" s="46" t="n">
        <f aca="false">(1+Assumptions!$C$90)^(R5-1)</f>
        <v>1.03</v>
      </c>
      <c r="S8" s="46" t="n">
        <f aca="false">(1+Assumptions!$C$90)^(S5-1)</f>
        <v>1.03</v>
      </c>
      <c r="T8" s="46" t="n">
        <f aca="false">(1+Assumptions!$C$90)^(T5-1)</f>
        <v>1.03</v>
      </c>
      <c r="U8" s="46" t="n">
        <f aca="false">(1+Assumptions!$C$90)^(U5-1)</f>
        <v>1.03</v>
      </c>
      <c r="V8" s="46" t="n">
        <f aca="false">(1+Assumptions!$C$90)^(V5-1)</f>
        <v>1.03</v>
      </c>
      <c r="W8" s="46" t="n">
        <f aca="false">(1+Assumptions!$C$90)^(W5-1)</f>
        <v>1.03</v>
      </c>
      <c r="X8" s="46" t="n">
        <f aca="false">(1+Assumptions!$C$90)^(X5-1)</f>
        <v>1.03</v>
      </c>
      <c r="Y8" s="46" t="n">
        <f aca="false">(1+Assumptions!$C$90)^(Y5-1)</f>
        <v>1.03</v>
      </c>
      <c r="Z8" s="46" t="n">
        <f aca="false">(1+Assumptions!$C$90)^(Z5-1)</f>
        <v>1.03</v>
      </c>
      <c r="AA8" s="46" t="n">
        <f aca="false">(1+Assumptions!$C$90)^(AA5-1)</f>
        <v>1.0609</v>
      </c>
      <c r="AB8" s="46" t="n">
        <f aca="false">(1+Assumptions!$C$90)^(AB5-1)</f>
        <v>1.0609</v>
      </c>
      <c r="AC8" s="46" t="n">
        <f aca="false">(1+Assumptions!$C$90)^(AC5-1)</f>
        <v>1.0609</v>
      </c>
      <c r="AD8" s="46" t="n">
        <f aca="false">(1+Assumptions!$C$90)^(AD5-1)</f>
        <v>1.0609</v>
      </c>
      <c r="AE8" s="46" t="n">
        <f aca="false">(1+Assumptions!$C$90)^(AE5-1)</f>
        <v>1.0609</v>
      </c>
      <c r="AF8" s="46" t="n">
        <f aca="false">(1+Assumptions!$C$90)^(AF5-1)</f>
        <v>1.0609</v>
      </c>
      <c r="AG8" s="46" t="n">
        <f aca="false">(1+Assumptions!$C$90)^(AG5-1)</f>
        <v>1.0609</v>
      </c>
      <c r="AH8" s="46" t="n">
        <f aca="false">(1+Assumptions!$C$90)^(AH5-1)</f>
        <v>1.0609</v>
      </c>
      <c r="AI8" s="46" t="n">
        <f aca="false">(1+Assumptions!$C$90)^(AI5-1)</f>
        <v>1.0609</v>
      </c>
      <c r="AJ8" s="46" t="n">
        <f aca="false">(1+Assumptions!$C$90)^(AJ5-1)</f>
        <v>1.0609</v>
      </c>
      <c r="AK8" s="46" t="n">
        <f aca="false">(1+Assumptions!$C$90)^(AK5-1)</f>
        <v>1.0609</v>
      </c>
      <c r="AL8" s="46" t="n">
        <f aca="false">(1+Assumptions!$C$90)^(AL5-1)</f>
        <v>1.0609</v>
      </c>
      <c r="AM8" s="46" t="n">
        <f aca="false">(1+Assumptions!$C$90)^(AM5-1)</f>
        <v>1.092727</v>
      </c>
      <c r="AN8" s="46" t="n">
        <f aca="false">(1+Assumptions!$C$90)^(AN5-1)</f>
        <v>1.092727</v>
      </c>
      <c r="AO8" s="46" t="n">
        <f aca="false">(1+Assumptions!$C$90)^(AO5-1)</f>
        <v>1.092727</v>
      </c>
      <c r="AP8" s="46" t="n">
        <f aca="false">(1+Assumptions!$C$90)^(AP5-1)</f>
        <v>1.092727</v>
      </c>
      <c r="AQ8" s="46" t="n">
        <f aca="false">(1+Assumptions!$C$90)^(AQ5-1)</f>
        <v>1.092727</v>
      </c>
      <c r="AR8" s="46" t="n">
        <f aca="false">(1+Assumptions!$C$90)^(AR5-1)</f>
        <v>1.092727</v>
      </c>
      <c r="AS8" s="46" t="n">
        <f aca="false">(1+Assumptions!$C$90)^(AS5-1)</f>
        <v>1.092727</v>
      </c>
      <c r="AT8" s="46" t="n">
        <f aca="false">(1+Assumptions!$C$90)^(AT5-1)</f>
        <v>1.092727</v>
      </c>
      <c r="AU8" s="46" t="n">
        <f aca="false">(1+Assumptions!$C$90)^(AU5-1)</f>
        <v>1.092727</v>
      </c>
      <c r="AV8" s="46" t="n">
        <f aca="false">(1+Assumptions!$C$90)^(AV5-1)</f>
        <v>1.092727</v>
      </c>
      <c r="AW8" s="46" t="n">
        <f aca="false">(1+Assumptions!$C$90)^(AW5-1)</f>
        <v>1.092727</v>
      </c>
      <c r="AX8" s="46" t="n">
        <f aca="false">(1+Assumptions!$C$90)^(AX5-1)</f>
        <v>1.092727</v>
      </c>
      <c r="AY8" s="46" t="n">
        <f aca="false">(1+Assumptions!$C$90)^(AY5-1)</f>
        <v>1.12550881</v>
      </c>
      <c r="AZ8" s="46" t="n">
        <f aca="false">(1+Assumptions!$C$90)^(AZ5-1)</f>
        <v>1.12550881</v>
      </c>
      <c r="BA8" s="46" t="n">
        <f aca="false">(1+Assumptions!$C$90)^(BA5-1)</f>
        <v>1.12550881</v>
      </c>
      <c r="BB8" s="46" t="n">
        <f aca="false">(1+Assumptions!$C$90)^(BB5-1)</f>
        <v>1.12550881</v>
      </c>
      <c r="BC8" s="46" t="n">
        <f aca="false">(1+Assumptions!$C$90)^(BC5-1)</f>
        <v>1.12550881</v>
      </c>
      <c r="BD8" s="46" t="n">
        <f aca="false">(1+Assumptions!$C$90)^(BD5-1)</f>
        <v>1.12550881</v>
      </c>
      <c r="BE8" s="46" t="n">
        <f aca="false">(1+Assumptions!$C$90)^(BE5-1)</f>
        <v>1.12550881</v>
      </c>
      <c r="BF8" s="46" t="n">
        <f aca="false">(1+Assumptions!$C$90)^(BF5-1)</f>
        <v>1.12550881</v>
      </c>
      <c r="BG8" s="46" t="n">
        <f aca="false">(1+Assumptions!$C$90)^(BG5-1)</f>
        <v>1.12550881</v>
      </c>
      <c r="BH8" s="46" t="n">
        <f aca="false">(1+Assumptions!$C$90)^(BH5-1)</f>
        <v>1.12550881</v>
      </c>
      <c r="BI8" s="46" t="n">
        <f aca="false">(1+Assumptions!$C$90)^(BI5-1)</f>
        <v>1.12550881</v>
      </c>
      <c r="BJ8" s="46" t="n">
        <f aca="false">(1+Assumptions!$C$90)^(BJ5-1)</f>
        <v>1.12550881</v>
      </c>
    </row>
    <row r="9" customFormat="false" ht="15" hidden="false" customHeight="false" outlineLevel="0" collapsed="false">
      <c r="A9" s="18" t="s">
        <v>250</v>
      </c>
      <c r="B9" s="2"/>
      <c r="C9" s="46" t="n">
        <f aca="false">(1+Assumptions!$C$91)^(C5-1)</f>
        <v>1</v>
      </c>
      <c r="D9" s="46" t="n">
        <f aca="false">(1+Assumptions!$C$91)^(D5-1)</f>
        <v>1</v>
      </c>
      <c r="E9" s="46" t="n">
        <f aca="false">(1+Assumptions!$C$91)^(E5-1)</f>
        <v>1</v>
      </c>
      <c r="F9" s="46" t="n">
        <f aca="false">(1+Assumptions!$C$91)^(F5-1)</f>
        <v>1</v>
      </c>
      <c r="G9" s="46" t="n">
        <f aca="false">(1+Assumptions!$C$91)^(G5-1)</f>
        <v>1</v>
      </c>
      <c r="H9" s="46" t="n">
        <f aca="false">(1+Assumptions!$C$91)^(H5-1)</f>
        <v>1</v>
      </c>
      <c r="I9" s="46" t="n">
        <f aca="false">(1+Assumptions!$C$91)^(I5-1)</f>
        <v>1</v>
      </c>
      <c r="J9" s="46" t="n">
        <f aca="false">(1+Assumptions!$C$91)^(J5-1)</f>
        <v>1</v>
      </c>
      <c r="K9" s="46" t="n">
        <f aca="false">(1+Assumptions!$C$91)^(K5-1)</f>
        <v>1</v>
      </c>
      <c r="L9" s="46" t="n">
        <f aca="false">(1+Assumptions!$C$91)^(L5-1)</f>
        <v>1</v>
      </c>
      <c r="M9" s="46" t="n">
        <f aca="false">(1+Assumptions!$C$91)^(M5-1)</f>
        <v>1</v>
      </c>
      <c r="N9" s="46" t="n">
        <f aca="false">(1+Assumptions!$C$91)^(N5-1)</f>
        <v>1</v>
      </c>
      <c r="O9" s="46" t="n">
        <f aca="false">(1+Assumptions!$C$91)^(O5-1)</f>
        <v>1.03</v>
      </c>
      <c r="P9" s="46" t="n">
        <f aca="false">(1+Assumptions!$C$91)^(P5-1)</f>
        <v>1.03</v>
      </c>
      <c r="Q9" s="46" t="n">
        <f aca="false">(1+Assumptions!$C$91)^(Q5-1)</f>
        <v>1.03</v>
      </c>
      <c r="R9" s="46" t="n">
        <f aca="false">(1+Assumptions!$C$91)^(R5-1)</f>
        <v>1.03</v>
      </c>
      <c r="S9" s="46" t="n">
        <f aca="false">(1+Assumptions!$C$91)^(S5-1)</f>
        <v>1.03</v>
      </c>
      <c r="T9" s="46" t="n">
        <f aca="false">(1+Assumptions!$C$91)^(T5-1)</f>
        <v>1.03</v>
      </c>
      <c r="U9" s="46" t="n">
        <f aca="false">(1+Assumptions!$C$91)^(U5-1)</f>
        <v>1.03</v>
      </c>
      <c r="V9" s="46" t="n">
        <f aca="false">(1+Assumptions!$C$91)^(V5-1)</f>
        <v>1.03</v>
      </c>
      <c r="W9" s="46" t="n">
        <f aca="false">(1+Assumptions!$C$91)^(W5-1)</f>
        <v>1.03</v>
      </c>
      <c r="X9" s="46" t="n">
        <f aca="false">(1+Assumptions!$C$91)^(X5-1)</f>
        <v>1.03</v>
      </c>
      <c r="Y9" s="46" t="n">
        <f aca="false">(1+Assumptions!$C$91)^(Y5-1)</f>
        <v>1.03</v>
      </c>
      <c r="Z9" s="46" t="n">
        <f aca="false">(1+Assumptions!$C$91)^(Z5-1)</f>
        <v>1.03</v>
      </c>
      <c r="AA9" s="46" t="n">
        <f aca="false">(1+Assumptions!$C$91)^(AA5-1)</f>
        <v>1.0609</v>
      </c>
      <c r="AB9" s="46" t="n">
        <f aca="false">(1+Assumptions!$C$91)^(AB5-1)</f>
        <v>1.0609</v>
      </c>
      <c r="AC9" s="46" t="n">
        <f aca="false">(1+Assumptions!$C$91)^(AC5-1)</f>
        <v>1.0609</v>
      </c>
      <c r="AD9" s="46" t="n">
        <f aca="false">(1+Assumptions!$C$91)^(AD5-1)</f>
        <v>1.0609</v>
      </c>
      <c r="AE9" s="46" t="n">
        <f aca="false">(1+Assumptions!$C$91)^(AE5-1)</f>
        <v>1.0609</v>
      </c>
      <c r="AF9" s="46" t="n">
        <f aca="false">(1+Assumptions!$C$91)^(AF5-1)</f>
        <v>1.0609</v>
      </c>
      <c r="AG9" s="46" t="n">
        <f aca="false">(1+Assumptions!$C$91)^(AG5-1)</f>
        <v>1.0609</v>
      </c>
      <c r="AH9" s="46" t="n">
        <f aca="false">(1+Assumptions!$C$91)^(AH5-1)</f>
        <v>1.0609</v>
      </c>
      <c r="AI9" s="46" t="n">
        <f aca="false">(1+Assumptions!$C$91)^(AI5-1)</f>
        <v>1.0609</v>
      </c>
      <c r="AJ9" s="46" t="n">
        <f aca="false">(1+Assumptions!$C$91)^(AJ5-1)</f>
        <v>1.0609</v>
      </c>
      <c r="AK9" s="46" t="n">
        <f aca="false">(1+Assumptions!$C$91)^(AK5-1)</f>
        <v>1.0609</v>
      </c>
      <c r="AL9" s="46" t="n">
        <f aca="false">(1+Assumptions!$C$91)^(AL5-1)</f>
        <v>1.0609</v>
      </c>
      <c r="AM9" s="46" t="n">
        <f aca="false">(1+Assumptions!$C$91)^(AM5-1)</f>
        <v>1.092727</v>
      </c>
      <c r="AN9" s="46" t="n">
        <f aca="false">(1+Assumptions!$C$91)^(AN5-1)</f>
        <v>1.092727</v>
      </c>
      <c r="AO9" s="46" t="n">
        <f aca="false">(1+Assumptions!$C$91)^(AO5-1)</f>
        <v>1.092727</v>
      </c>
      <c r="AP9" s="46" t="n">
        <f aca="false">(1+Assumptions!$C$91)^(AP5-1)</f>
        <v>1.092727</v>
      </c>
      <c r="AQ9" s="46" t="n">
        <f aca="false">(1+Assumptions!$C$91)^(AQ5-1)</f>
        <v>1.092727</v>
      </c>
      <c r="AR9" s="46" t="n">
        <f aca="false">(1+Assumptions!$C$91)^(AR5-1)</f>
        <v>1.092727</v>
      </c>
      <c r="AS9" s="46" t="n">
        <f aca="false">(1+Assumptions!$C$91)^(AS5-1)</f>
        <v>1.092727</v>
      </c>
      <c r="AT9" s="46" t="n">
        <f aca="false">(1+Assumptions!$C$91)^(AT5-1)</f>
        <v>1.092727</v>
      </c>
      <c r="AU9" s="46" t="n">
        <f aca="false">(1+Assumptions!$C$91)^(AU5-1)</f>
        <v>1.092727</v>
      </c>
      <c r="AV9" s="46" t="n">
        <f aca="false">(1+Assumptions!$C$91)^(AV5-1)</f>
        <v>1.092727</v>
      </c>
      <c r="AW9" s="46" t="n">
        <f aca="false">(1+Assumptions!$C$91)^(AW5-1)</f>
        <v>1.092727</v>
      </c>
      <c r="AX9" s="46" t="n">
        <f aca="false">(1+Assumptions!$C$91)^(AX5-1)</f>
        <v>1.092727</v>
      </c>
      <c r="AY9" s="46" t="n">
        <f aca="false">(1+Assumptions!$C$91)^(AY5-1)</f>
        <v>1.12550881</v>
      </c>
      <c r="AZ9" s="46" t="n">
        <f aca="false">(1+Assumptions!$C$91)^(AZ5-1)</f>
        <v>1.12550881</v>
      </c>
      <c r="BA9" s="46" t="n">
        <f aca="false">(1+Assumptions!$C$91)^(BA5-1)</f>
        <v>1.12550881</v>
      </c>
      <c r="BB9" s="46" t="n">
        <f aca="false">(1+Assumptions!$C$91)^(BB5-1)</f>
        <v>1.12550881</v>
      </c>
      <c r="BC9" s="46" t="n">
        <f aca="false">(1+Assumptions!$C$91)^(BC5-1)</f>
        <v>1.12550881</v>
      </c>
      <c r="BD9" s="46" t="n">
        <f aca="false">(1+Assumptions!$C$91)^(BD5-1)</f>
        <v>1.12550881</v>
      </c>
      <c r="BE9" s="46" t="n">
        <f aca="false">(1+Assumptions!$C$91)^(BE5-1)</f>
        <v>1.12550881</v>
      </c>
      <c r="BF9" s="46" t="n">
        <f aca="false">(1+Assumptions!$C$91)^(BF5-1)</f>
        <v>1.12550881</v>
      </c>
      <c r="BG9" s="46" t="n">
        <f aca="false">(1+Assumptions!$C$91)^(BG5-1)</f>
        <v>1.12550881</v>
      </c>
      <c r="BH9" s="46" t="n">
        <f aca="false">(1+Assumptions!$C$91)^(BH5-1)</f>
        <v>1.12550881</v>
      </c>
      <c r="BI9" s="46" t="n">
        <f aca="false">(1+Assumptions!$C$91)^(BI5-1)</f>
        <v>1.12550881</v>
      </c>
      <c r="BJ9" s="46" t="n">
        <f aca="false">(1+Assumptions!$C$91)^(BJ5-1)</f>
        <v>1.12550881</v>
      </c>
    </row>
    <row r="11" customFormat="false" ht="15" hidden="false" customHeight="false" outlineLevel="0" collapsed="false">
      <c r="A11" s="33" t="s">
        <v>251</v>
      </c>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row>
    <row r="12" customFormat="false" ht="15" hidden="false" customHeight="false" outlineLevel="0" collapsed="false">
      <c r="A12" s="18" t="s">
        <v>252</v>
      </c>
      <c r="B12" s="2"/>
      <c r="C12" s="14" t="n">
        <f aca="false">Assumptions!$C$82*C8</f>
        <v>2200</v>
      </c>
      <c r="D12" s="14" t="n">
        <f aca="false">Assumptions!$C$82*D8</f>
        <v>2200</v>
      </c>
      <c r="E12" s="14" t="n">
        <f aca="false">Assumptions!$C$82*E8</f>
        <v>2200</v>
      </c>
      <c r="F12" s="14" t="n">
        <f aca="false">Assumptions!$C$82*F8</f>
        <v>2200</v>
      </c>
      <c r="G12" s="14" t="n">
        <f aca="false">Assumptions!$C$82*G8</f>
        <v>2200</v>
      </c>
      <c r="H12" s="14" t="n">
        <f aca="false">Assumptions!$C$82*H8</f>
        <v>2200</v>
      </c>
      <c r="I12" s="14" t="n">
        <f aca="false">Assumptions!$C$82*I8</f>
        <v>2200</v>
      </c>
      <c r="J12" s="14" t="n">
        <f aca="false">Assumptions!$C$82*J8</f>
        <v>2200</v>
      </c>
      <c r="K12" s="14" t="n">
        <f aca="false">Assumptions!$C$82*K8</f>
        <v>2200</v>
      </c>
      <c r="L12" s="14" t="n">
        <f aca="false">Assumptions!$C$82*L8</f>
        <v>2200</v>
      </c>
      <c r="M12" s="14" t="n">
        <f aca="false">Assumptions!$C$82*M8</f>
        <v>2200</v>
      </c>
      <c r="N12" s="14" t="n">
        <f aca="false">Assumptions!$C$82*N8</f>
        <v>2200</v>
      </c>
      <c r="O12" s="14" t="n">
        <f aca="false">Assumptions!$C$82*O8</f>
        <v>2266</v>
      </c>
      <c r="P12" s="14" t="n">
        <f aca="false">Assumptions!$C$82*P8</f>
        <v>2266</v>
      </c>
      <c r="Q12" s="14" t="n">
        <f aca="false">Assumptions!$C$82*Q8</f>
        <v>2266</v>
      </c>
      <c r="R12" s="14" t="n">
        <f aca="false">Assumptions!$C$82*R8</f>
        <v>2266</v>
      </c>
      <c r="S12" s="14" t="n">
        <f aca="false">Assumptions!$C$82*S8</f>
        <v>2266</v>
      </c>
      <c r="T12" s="14" t="n">
        <f aca="false">Assumptions!$C$82*T8</f>
        <v>2266</v>
      </c>
      <c r="U12" s="14" t="n">
        <f aca="false">Assumptions!$C$82*U8</f>
        <v>2266</v>
      </c>
      <c r="V12" s="14" t="n">
        <f aca="false">Assumptions!$C$82*V8</f>
        <v>2266</v>
      </c>
      <c r="W12" s="14" t="n">
        <f aca="false">Assumptions!$C$82*W8</f>
        <v>2266</v>
      </c>
      <c r="X12" s="14" t="n">
        <f aca="false">Assumptions!$C$82*X8</f>
        <v>2266</v>
      </c>
      <c r="Y12" s="14" t="n">
        <f aca="false">Assumptions!$C$82*Y8</f>
        <v>2266</v>
      </c>
      <c r="Z12" s="14" t="n">
        <f aca="false">Assumptions!$C$82*Z8</f>
        <v>2266</v>
      </c>
      <c r="AA12" s="14" t="n">
        <f aca="false">Assumptions!$C$82*AA8</f>
        <v>2333.98</v>
      </c>
      <c r="AB12" s="14" t="n">
        <f aca="false">Assumptions!$C$82*AB8</f>
        <v>2333.98</v>
      </c>
      <c r="AC12" s="14" t="n">
        <f aca="false">Assumptions!$C$82*AC8</f>
        <v>2333.98</v>
      </c>
      <c r="AD12" s="14" t="n">
        <f aca="false">Assumptions!$C$82*AD8</f>
        <v>2333.98</v>
      </c>
      <c r="AE12" s="14" t="n">
        <f aca="false">Assumptions!$C$82*AE8</f>
        <v>2333.98</v>
      </c>
      <c r="AF12" s="14" t="n">
        <f aca="false">Assumptions!$C$82*AF8</f>
        <v>2333.98</v>
      </c>
      <c r="AG12" s="14" t="n">
        <f aca="false">Assumptions!$C$82*AG8</f>
        <v>2333.98</v>
      </c>
      <c r="AH12" s="14" t="n">
        <f aca="false">Assumptions!$C$82*AH8</f>
        <v>2333.98</v>
      </c>
      <c r="AI12" s="14" t="n">
        <f aca="false">Assumptions!$C$82*AI8</f>
        <v>2333.98</v>
      </c>
      <c r="AJ12" s="14" t="n">
        <f aca="false">Assumptions!$C$82*AJ8</f>
        <v>2333.98</v>
      </c>
      <c r="AK12" s="14" t="n">
        <f aca="false">Assumptions!$C$82*AK8</f>
        <v>2333.98</v>
      </c>
      <c r="AL12" s="14" t="n">
        <f aca="false">Assumptions!$C$82*AL8</f>
        <v>2333.98</v>
      </c>
      <c r="AM12" s="14" t="n">
        <f aca="false">Assumptions!$C$82*AM8</f>
        <v>2403.9994</v>
      </c>
      <c r="AN12" s="14" t="n">
        <f aca="false">Assumptions!$C$82*AN8</f>
        <v>2403.9994</v>
      </c>
      <c r="AO12" s="14" t="n">
        <f aca="false">Assumptions!$C$82*AO8</f>
        <v>2403.9994</v>
      </c>
      <c r="AP12" s="14" t="n">
        <f aca="false">Assumptions!$C$82*AP8</f>
        <v>2403.9994</v>
      </c>
      <c r="AQ12" s="14" t="n">
        <f aca="false">Assumptions!$C$82*AQ8</f>
        <v>2403.9994</v>
      </c>
      <c r="AR12" s="14" t="n">
        <f aca="false">Assumptions!$C$82*AR8</f>
        <v>2403.9994</v>
      </c>
      <c r="AS12" s="14" t="n">
        <f aca="false">Assumptions!$C$82*AS8</f>
        <v>2403.9994</v>
      </c>
      <c r="AT12" s="14" t="n">
        <f aca="false">Assumptions!$C$82*AT8</f>
        <v>2403.9994</v>
      </c>
      <c r="AU12" s="14" t="n">
        <f aca="false">Assumptions!$C$82*AU8</f>
        <v>2403.9994</v>
      </c>
      <c r="AV12" s="14" t="n">
        <f aca="false">Assumptions!$C$82*AV8</f>
        <v>2403.9994</v>
      </c>
      <c r="AW12" s="14" t="n">
        <f aca="false">Assumptions!$C$82*AW8</f>
        <v>2403.9994</v>
      </c>
      <c r="AX12" s="14" t="n">
        <f aca="false">Assumptions!$C$82*AX8</f>
        <v>2403.9994</v>
      </c>
      <c r="AY12" s="14" t="n">
        <f aca="false">Assumptions!$C$82*AY8</f>
        <v>2476.119382</v>
      </c>
      <c r="AZ12" s="14" t="n">
        <f aca="false">Assumptions!$C$82*AZ8</f>
        <v>2476.119382</v>
      </c>
      <c r="BA12" s="14" t="n">
        <f aca="false">Assumptions!$C$82*BA8</f>
        <v>2476.119382</v>
      </c>
      <c r="BB12" s="14" t="n">
        <f aca="false">Assumptions!$C$82*BB8</f>
        <v>2476.119382</v>
      </c>
      <c r="BC12" s="14" t="n">
        <f aca="false">Assumptions!$C$82*BC8</f>
        <v>2476.119382</v>
      </c>
      <c r="BD12" s="14" t="n">
        <f aca="false">Assumptions!$C$82*BD8</f>
        <v>2476.119382</v>
      </c>
      <c r="BE12" s="14" t="n">
        <f aca="false">Assumptions!$C$82*BE8</f>
        <v>2476.119382</v>
      </c>
      <c r="BF12" s="14" t="n">
        <f aca="false">Assumptions!$C$82*BF8</f>
        <v>2476.119382</v>
      </c>
      <c r="BG12" s="14" t="n">
        <f aca="false">Assumptions!$C$82*BG8</f>
        <v>2476.119382</v>
      </c>
      <c r="BH12" s="14" t="n">
        <f aca="false">Assumptions!$C$82*BH8</f>
        <v>2476.119382</v>
      </c>
      <c r="BI12" s="14" t="n">
        <f aca="false">Assumptions!$C$82*BI8</f>
        <v>2476.119382</v>
      </c>
      <c r="BJ12" s="14" t="n">
        <f aca="false">Assumptions!$C$82*BJ8</f>
        <v>2476.119382</v>
      </c>
      <c r="BK12" s="43" t="n">
        <f aca="false">SUMIF($C$5:$BJ$5,BK$5,$C12:$BJ12)</f>
        <v>26400</v>
      </c>
      <c r="BL12" s="43" t="n">
        <f aca="false">SUMIF($C$5:$BJ$5,BL$5,$C12:$BJ12)</f>
        <v>27192</v>
      </c>
      <c r="BM12" s="43" t="n">
        <f aca="false">SUMIF($C$5:$BJ$5,BM$5,$C12:$BJ12)</f>
        <v>28007.76</v>
      </c>
      <c r="BN12" s="43" t="n">
        <f aca="false">SUMIF($C$5:$BJ$5,BN$5,$C12:$BJ12)</f>
        <v>28847.9928</v>
      </c>
      <c r="BO12" s="43" t="n">
        <f aca="false">SUMIF($C$5:$BJ$5,BO$5,$C12:$BJ12)</f>
        <v>29713.432584</v>
      </c>
    </row>
    <row r="13" customFormat="false" ht="15" hidden="false" customHeight="false" outlineLevel="0" collapsed="false">
      <c r="A13" s="18" t="s">
        <v>253</v>
      </c>
      <c r="B13" s="2"/>
      <c r="C13" s="14" t="n">
        <f aca="false">Assumptions!$C$83*C9</f>
        <v>350</v>
      </c>
      <c r="D13" s="14" t="n">
        <f aca="false">Assumptions!$C$83*D9</f>
        <v>350</v>
      </c>
      <c r="E13" s="14" t="n">
        <f aca="false">Assumptions!$C$83*E9</f>
        <v>350</v>
      </c>
      <c r="F13" s="14" t="n">
        <f aca="false">Assumptions!$C$83*F9</f>
        <v>350</v>
      </c>
      <c r="G13" s="14" t="n">
        <f aca="false">Assumptions!$C$83*G9</f>
        <v>350</v>
      </c>
      <c r="H13" s="14" t="n">
        <f aca="false">Assumptions!$C$83*H9</f>
        <v>350</v>
      </c>
      <c r="I13" s="14" t="n">
        <f aca="false">Assumptions!$C$83*I9</f>
        <v>350</v>
      </c>
      <c r="J13" s="14" t="n">
        <f aca="false">Assumptions!$C$83*J9</f>
        <v>350</v>
      </c>
      <c r="K13" s="14" t="n">
        <f aca="false">Assumptions!$C$83*K9</f>
        <v>350</v>
      </c>
      <c r="L13" s="14" t="n">
        <f aca="false">Assumptions!$C$83*L9</f>
        <v>350</v>
      </c>
      <c r="M13" s="14" t="n">
        <f aca="false">Assumptions!$C$83*M9</f>
        <v>350</v>
      </c>
      <c r="N13" s="14" t="n">
        <f aca="false">Assumptions!$C$83*N9</f>
        <v>350</v>
      </c>
      <c r="O13" s="14" t="n">
        <f aca="false">Assumptions!$C$83*O9</f>
        <v>360.5</v>
      </c>
      <c r="P13" s="14" t="n">
        <f aca="false">Assumptions!$C$83*P9</f>
        <v>360.5</v>
      </c>
      <c r="Q13" s="14" t="n">
        <f aca="false">Assumptions!$C$83*Q9</f>
        <v>360.5</v>
      </c>
      <c r="R13" s="14" t="n">
        <f aca="false">Assumptions!$C$83*R9</f>
        <v>360.5</v>
      </c>
      <c r="S13" s="14" t="n">
        <f aca="false">Assumptions!$C$83*S9</f>
        <v>360.5</v>
      </c>
      <c r="T13" s="14" t="n">
        <f aca="false">Assumptions!$C$83*T9</f>
        <v>360.5</v>
      </c>
      <c r="U13" s="14" t="n">
        <f aca="false">Assumptions!$C$83*U9</f>
        <v>360.5</v>
      </c>
      <c r="V13" s="14" t="n">
        <f aca="false">Assumptions!$C$83*V9</f>
        <v>360.5</v>
      </c>
      <c r="W13" s="14" t="n">
        <f aca="false">Assumptions!$C$83*W9</f>
        <v>360.5</v>
      </c>
      <c r="X13" s="14" t="n">
        <f aca="false">Assumptions!$C$83*X9</f>
        <v>360.5</v>
      </c>
      <c r="Y13" s="14" t="n">
        <f aca="false">Assumptions!$C$83*Y9</f>
        <v>360.5</v>
      </c>
      <c r="Z13" s="14" t="n">
        <f aca="false">Assumptions!$C$83*Z9</f>
        <v>360.5</v>
      </c>
      <c r="AA13" s="14" t="n">
        <f aca="false">Assumptions!$C$83*AA9</f>
        <v>371.315</v>
      </c>
      <c r="AB13" s="14" t="n">
        <f aca="false">Assumptions!$C$83*AB9</f>
        <v>371.315</v>
      </c>
      <c r="AC13" s="14" t="n">
        <f aca="false">Assumptions!$C$83*AC9</f>
        <v>371.315</v>
      </c>
      <c r="AD13" s="14" t="n">
        <f aca="false">Assumptions!$C$83*AD9</f>
        <v>371.315</v>
      </c>
      <c r="AE13" s="14" t="n">
        <f aca="false">Assumptions!$C$83*AE9</f>
        <v>371.315</v>
      </c>
      <c r="AF13" s="14" t="n">
        <f aca="false">Assumptions!$C$83*AF9</f>
        <v>371.315</v>
      </c>
      <c r="AG13" s="14" t="n">
        <f aca="false">Assumptions!$C$83*AG9</f>
        <v>371.315</v>
      </c>
      <c r="AH13" s="14" t="n">
        <f aca="false">Assumptions!$C$83*AH9</f>
        <v>371.315</v>
      </c>
      <c r="AI13" s="14" t="n">
        <f aca="false">Assumptions!$C$83*AI9</f>
        <v>371.315</v>
      </c>
      <c r="AJ13" s="14" t="n">
        <f aca="false">Assumptions!$C$83*AJ9</f>
        <v>371.315</v>
      </c>
      <c r="AK13" s="14" t="n">
        <f aca="false">Assumptions!$C$83*AK9</f>
        <v>371.315</v>
      </c>
      <c r="AL13" s="14" t="n">
        <f aca="false">Assumptions!$C$83*AL9</f>
        <v>371.315</v>
      </c>
      <c r="AM13" s="14" t="n">
        <f aca="false">Assumptions!$C$83*AM9</f>
        <v>382.45445</v>
      </c>
      <c r="AN13" s="14" t="n">
        <f aca="false">Assumptions!$C$83*AN9</f>
        <v>382.45445</v>
      </c>
      <c r="AO13" s="14" t="n">
        <f aca="false">Assumptions!$C$83*AO9</f>
        <v>382.45445</v>
      </c>
      <c r="AP13" s="14" t="n">
        <f aca="false">Assumptions!$C$83*AP9</f>
        <v>382.45445</v>
      </c>
      <c r="AQ13" s="14" t="n">
        <f aca="false">Assumptions!$C$83*AQ9</f>
        <v>382.45445</v>
      </c>
      <c r="AR13" s="14" t="n">
        <f aca="false">Assumptions!$C$83*AR9</f>
        <v>382.45445</v>
      </c>
      <c r="AS13" s="14" t="n">
        <f aca="false">Assumptions!$C$83*AS9</f>
        <v>382.45445</v>
      </c>
      <c r="AT13" s="14" t="n">
        <f aca="false">Assumptions!$C$83*AT9</f>
        <v>382.45445</v>
      </c>
      <c r="AU13" s="14" t="n">
        <f aca="false">Assumptions!$C$83*AU9</f>
        <v>382.45445</v>
      </c>
      <c r="AV13" s="14" t="n">
        <f aca="false">Assumptions!$C$83*AV9</f>
        <v>382.45445</v>
      </c>
      <c r="AW13" s="14" t="n">
        <f aca="false">Assumptions!$C$83*AW9</f>
        <v>382.45445</v>
      </c>
      <c r="AX13" s="14" t="n">
        <f aca="false">Assumptions!$C$83*AX9</f>
        <v>382.45445</v>
      </c>
      <c r="AY13" s="14" t="n">
        <f aca="false">Assumptions!$C$83*AY9</f>
        <v>393.9280835</v>
      </c>
      <c r="AZ13" s="14" t="n">
        <f aca="false">Assumptions!$C$83*AZ9</f>
        <v>393.9280835</v>
      </c>
      <c r="BA13" s="14" t="n">
        <f aca="false">Assumptions!$C$83*BA9</f>
        <v>393.9280835</v>
      </c>
      <c r="BB13" s="14" t="n">
        <f aca="false">Assumptions!$C$83*BB9</f>
        <v>393.9280835</v>
      </c>
      <c r="BC13" s="14" t="n">
        <f aca="false">Assumptions!$C$83*BC9</f>
        <v>393.9280835</v>
      </c>
      <c r="BD13" s="14" t="n">
        <f aca="false">Assumptions!$C$83*BD9</f>
        <v>393.9280835</v>
      </c>
      <c r="BE13" s="14" t="n">
        <f aca="false">Assumptions!$C$83*BE9</f>
        <v>393.9280835</v>
      </c>
      <c r="BF13" s="14" t="n">
        <f aca="false">Assumptions!$C$83*BF9</f>
        <v>393.9280835</v>
      </c>
      <c r="BG13" s="14" t="n">
        <f aca="false">Assumptions!$C$83*BG9</f>
        <v>393.9280835</v>
      </c>
      <c r="BH13" s="14" t="n">
        <f aca="false">Assumptions!$C$83*BH9</f>
        <v>393.9280835</v>
      </c>
      <c r="BI13" s="14" t="n">
        <f aca="false">Assumptions!$C$83*BI9</f>
        <v>393.9280835</v>
      </c>
      <c r="BJ13" s="14" t="n">
        <f aca="false">Assumptions!$C$83*BJ9</f>
        <v>393.9280835</v>
      </c>
      <c r="BK13" s="43" t="n">
        <f aca="false">SUMIF($C$5:$BJ$5,BK$5,$C13:$BJ13)</f>
        <v>4200</v>
      </c>
      <c r="BL13" s="43" t="n">
        <f aca="false">SUMIF($C$5:$BJ$5,BL$5,$C13:$BJ13)</f>
        <v>4326</v>
      </c>
      <c r="BM13" s="43" t="n">
        <f aca="false">SUMIF($C$5:$BJ$5,BM$5,$C13:$BJ13)</f>
        <v>4455.78</v>
      </c>
      <c r="BN13" s="43" t="n">
        <f aca="false">SUMIF($C$5:$BJ$5,BN$5,$C13:$BJ13)</f>
        <v>4589.4534</v>
      </c>
      <c r="BO13" s="43" t="n">
        <f aca="false">SUMIF($C$5:$BJ$5,BO$5,$C13:$BJ13)</f>
        <v>4727.137002</v>
      </c>
    </row>
    <row r="14" customFormat="false" ht="15" hidden="false" customHeight="false" outlineLevel="0" collapsed="false">
      <c r="A14" s="18" t="s">
        <v>254</v>
      </c>
      <c r="B14" s="2"/>
      <c r="C14" s="14" t="n">
        <f aca="false">Assumptions!$C$84*C9</f>
        <v>300</v>
      </c>
      <c r="D14" s="14" t="n">
        <f aca="false">Assumptions!$C$84*D9</f>
        <v>300</v>
      </c>
      <c r="E14" s="14" t="n">
        <f aca="false">Assumptions!$C$84*E9</f>
        <v>300</v>
      </c>
      <c r="F14" s="14" t="n">
        <f aca="false">Assumptions!$C$84*F9</f>
        <v>300</v>
      </c>
      <c r="G14" s="14" t="n">
        <f aca="false">Assumptions!$C$84*G9</f>
        <v>300</v>
      </c>
      <c r="H14" s="14" t="n">
        <f aca="false">Assumptions!$C$84*H9</f>
        <v>300</v>
      </c>
      <c r="I14" s="14" t="n">
        <f aca="false">Assumptions!$C$84*I9</f>
        <v>300</v>
      </c>
      <c r="J14" s="14" t="n">
        <f aca="false">Assumptions!$C$84*J9</f>
        <v>300</v>
      </c>
      <c r="K14" s="14" t="n">
        <f aca="false">Assumptions!$C$84*K9</f>
        <v>300</v>
      </c>
      <c r="L14" s="14" t="n">
        <f aca="false">Assumptions!$C$84*L9</f>
        <v>300</v>
      </c>
      <c r="M14" s="14" t="n">
        <f aca="false">Assumptions!$C$84*M9</f>
        <v>300</v>
      </c>
      <c r="N14" s="14" t="n">
        <f aca="false">Assumptions!$C$84*N9</f>
        <v>300</v>
      </c>
      <c r="O14" s="14" t="n">
        <f aca="false">Assumptions!$C$84*O9</f>
        <v>309</v>
      </c>
      <c r="P14" s="14" t="n">
        <f aca="false">Assumptions!$C$84*P9</f>
        <v>309</v>
      </c>
      <c r="Q14" s="14" t="n">
        <f aca="false">Assumptions!$C$84*Q9</f>
        <v>309</v>
      </c>
      <c r="R14" s="14" t="n">
        <f aca="false">Assumptions!$C$84*R9</f>
        <v>309</v>
      </c>
      <c r="S14" s="14" t="n">
        <f aca="false">Assumptions!$C$84*S9</f>
        <v>309</v>
      </c>
      <c r="T14" s="14" t="n">
        <f aca="false">Assumptions!$C$84*T9</f>
        <v>309</v>
      </c>
      <c r="U14" s="14" t="n">
        <f aca="false">Assumptions!$C$84*U9</f>
        <v>309</v>
      </c>
      <c r="V14" s="14" t="n">
        <f aca="false">Assumptions!$C$84*V9</f>
        <v>309</v>
      </c>
      <c r="W14" s="14" t="n">
        <f aca="false">Assumptions!$C$84*W9</f>
        <v>309</v>
      </c>
      <c r="X14" s="14" t="n">
        <f aca="false">Assumptions!$C$84*X9</f>
        <v>309</v>
      </c>
      <c r="Y14" s="14" t="n">
        <f aca="false">Assumptions!$C$84*Y9</f>
        <v>309</v>
      </c>
      <c r="Z14" s="14" t="n">
        <f aca="false">Assumptions!$C$84*Z9</f>
        <v>309</v>
      </c>
      <c r="AA14" s="14" t="n">
        <f aca="false">Assumptions!$C$84*AA9</f>
        <v>318.27</v>
      </c>
      <c r="AB14" s="14" t="n">
        <f aca="false">Assumptions!$C$84*AB9</f>
        <v>318.27</v>
      </c>
      <c r="AC14" s="14" t="n">
        <f aca="false">Assumptions!$C$84*AC9</f>
        <v>318.27</v>
      </c>
      <c r="AD14" s="14" t="n">
        <f aca="false">Assumptions!$C$84*AD9</f>
        <v>318.27</v>
      </c>
      <c r="AE14" s="14" t="n">
        <f aca="false">Assumptions!$C$84*AE9</f>
        <v>318.27</v>
      </c>
      <c r="AF14" s="14" t="n">
        <f aca="false">Assumptions!$C$84*AF9</f>
        <v>318.27</v>
      </c>
      <c r="AG14" s="14" t="n">
        <f aca="false">Assumptions!$C$84*AG9</f>
        <v>318.27</v>
      </c>
      <c r="AH14" s="14" t="n">
        <f aca="false">Assumptions!$C$84*AH9</f>
        <v>318.27</v>
      </c>
      <c r="AI14" s="14" t="n">
        <f aca="false">Assumptions!$C$84*AI9</f>
        <v>318.27</v>
      </c>
      <c r="AJ14" s="14" t="n">
        <f aca="false">Assumptions!$C$84*AJ9</f>
        <v>318.27</v>
      </c>
      <c r="AK14" s="14" t="n">
        <f aca="false">Assumptions!$C$84*AK9</f>
        <v>318.27</v>
      </c>
      <c r="AL14" s="14" t="n">
        <f aca="false">Assumptions!$C$84*AL9</f>
        <v>318.27</v>
      </c>
      <c r="AM14" s="14" t="n">
        <f aca="false">Assumptions!$C$84*AM9</f>
        <v>327.8181</v>
      </c>
      <c r="AN14" s="14" t="n">
        <f aca="false">Assumptions!$C$84*AN9</f>
        <v>327.8181</v>
      </c>
      <c r="AO14" s="14" t="n">
        <f aca="false">Assumptions!$C$84*AO9</f>
        <v>327.8181</v>
      </c>
      <c r="AP14" s="14" t="n">
        <f aca="false">Assumptions!$C$84*AP9</f>
        <v>327.8181</v>
      </c>
      <c r="AQ14" s="14" t="n">
        <f aca="false">Assumptions!$C$84*AQ9</f>
        <v>327.8181</v>
      </c>
      <c r="AR14" s="14" t="n">
        <f aca="false">Assumptions!$C$84*AR9</f>
        <v>327.8181</v>
      </c>
      <c r="AS14" s="14" t="n">
        <f aca="false">Assumptions!$C$84*AS9</f>
        <v>327.8181</v>
      </c>
      <c r="AT14" s="14" t="n">
        <f aca="false">Assumptions!$C$84*AT9</f>
        <v>327.8181</v>
      </c>
      <c r="AU14" s="14" t="n">
        <f aca="false">Assumptions!$C$84*AU9</f>
        <v>327.8181</v>
      </c>
      <c r="AV14" s="14" t="n">
        <f aca="false">Assumptions!$C$84*AV9</f>
        <v>327.8181</v>
      </c>
      <c r="AW14" s="14" t="n">
        <f aca="false">Assumptions!$C$84*AW9</f>
        <v>327.8181</v>
      </c>
      <c r="AX14" s="14" t="n">
        <f aca="false">Assumptions!$C$84*AX9</f>
        <v>327.8181</v>
      </c>
      <c r="AY14" s="14" t="n">
        <f aca="false">Assumptions!$C$84*AY9</f>
        <v>337.652643</v>
      </c>
      <c r="AZ14" s="14" t="n">
        <f aca="false">Assumptions!$C$84*AZ9</f>
        <v>337.652643</v>
      </c>
      <c r="BA14" s="14" t="n">
        <f aca="false">Assumptions!$C$84*BA9</f>
        <v>337.652643</v>
      </c>
      <c r="BB14" s="14" t="n">
        <f aca="false">Assumptions!$C$84*BB9</f>
        <v>337.652643</v>
      </c>
      <c r="BC14" s="14" t="n">
        <f aca="false">Assumptions!$C$84*BC9</f>
        <v>337.652643</v>
      </c>
      <c r="BD14" s="14" t="n">
        <f aca="false">Assumptions!$C$84*BD9</f>
        <v>337.652643</v>
      </c>
      <c r="BE14" s="14" t="n">
        <f aca="false">Assumptions!$C$84*BE9</f>
        <v>337.652643</v>
      </c>
      <c r="BF14" s="14" t="n">
        <f aca="false">Assumptions!$C$84*BF9</f>
        <v>337.652643</v>
      </c>
      <c r="BG14" s="14" t="n">
        <f aca="false">Assumptions!$C$84*BG9</f>
        <v>337.652643</v>
      </c>
      <c r="BH14" s="14" t="n">
        <f aca="false">Assumptions!$C$84*BH9</f>
        <v>337.652643</v>
      </c>
      <c r="BI14" s="14" t="n">
        <f aca="false">Assumptions!$C$84*BI9</f>
        <v>337.652643</v>
      </c>
      <c r="BJ14" s="14" t="n">
        <f aca="false">Assumptions!$C$84*BJ9</f>
        <v>337.652643</v>
      </c>
      <c r="BK14" s="43" t="n">
        <f aca="false">SUMIF($C$5:$BJ$5,BK$5,$C14:$BJ14)</f>
        <v>3600</v>
      </c>
      <c r="BL14" s="43" t="n">
        <f aca="false">SUMIF($C$5:$BJ$5,BL$5,$C14:$BJ14)</f>
        <v>3708</v>
      </c>
      <c r="BM14" s="43" t="n">
        <f aca="false">SUMIF($C$5:$BJ$5,BM$5,$C14:$BJ14)</f>
        <v>3819.24</v>
      </c>
      <c r="BN14" s="43" t="n">
        <f aca="false">SUMIF($C$5:$BJ$5,BN$5,$C14:$BJ14)</f>
        <v>3933.8172</v>
      </c>
      <c r="BO14" s="43" t="n">
        <f aca="false">SUMIF($C$5:$BJ$5,BO$5,$C14:$BJ14)</f>
        <v>4051.831716</v>
      </c>
    </row>
    <row r="15" customFormat="false" ht="15" hidden="false" customHeight="false" outlineLevel="0" collapsed="false">
      <c r="A15" s="18" t="s">
        <v>255</v>
      </c>
      <c r="B15" s="2"/>
      <c r="C15" s="14" t="n">
        <f aca="false">Assumptions!$C$85*C9</f>
        <v>250</v>
      </c>
      <c r="D15" s="14" t="n">
        <f aca="false">Assumptions!$C$85*D9</f>
        <v>250</v>
      </c>
      <c r="E15" s="14" t="n">
        <f aca="false">Assumptions!$C$85*E9</f>
        <v>250</v>
      </c>
      <c r="F15" s="14" t="n">
        <f aca="false">Assumptions!$C$85*F9</f>
        <v>250</v>
      </c>
      <c r="G15" s="14" t="n">
        <f aca="false">Assumptions!$C$85*G9</f>
        <v>250</v>
      </c>
      <c r="H15" s="14" t="n">
        <f aca="false">Assumptions!$C$85*H9</f>
        <v>250</v>
      </c>
      <c r="I15" s="14" t="n">
        <f aca="false">Assumptions!$C$85*I9</f>
        <v>250</v>
      </c>
      <c r="J15" s="14" t="n">
        <f aca="false">Assumptions!$C$85*J9</f>
        <v>250</v>
      </c>
      <c r="K15" s="14" t="n">
        <f aca="false">Assumptions!$C$85*K9</f>
        <v>250</v>
      </c>
      <c r="L15" s="14" t="n">
        <f aca="false">Assumptions!$C$85*L9</f>
        <v>250</v>
      </c>
      <c r="M15" s="14" t="n">
        <f aca="false">Assumptions!$C$85*M9</f>
        <v>250</v>
      </c>
      <c r="N15" s="14" t="n">
        <f aca="false">Assumptions!$C$85*N9</f>
        <v>250</v>
      </c>
      <c r="O15" s="14" t="n">
        <f aca="false">Assumptions!$C$85*O9</f>
        <v>257.5</v>
      </c>
      <c r="P15" s="14" t="n">
        <f aca="false">Assumptions!$C$85*P9</f>
        <v>257.5</v>
      </c>
      <c r="Q15" s="14" t="n">
        <f aca="false">Assumptions!$C$85*Q9</f>
        <v>257.5</v>
      </c>
      <c r="R15" s="14" t="n">
        <f aca="false">Assumptions!$C$85*R9</f>
        <v>257.5</v>
      </c>
      <c r="S15" s="14" t="n">
        <f aca="false">Assumptions!$C$85*S9</f>
        <v>257.5</v>
      </c>
      <c r="T15" s="14" t="n">
        <f aca="false">Assumptions!$C$85*T9</f>
        <v>257.5</v>
      </c>
      <c r="U15" s="14" t="n">
        <f aca="false">Assumptions!$C$85*U9</f>
        <v>257.5</v>
      </c>
      <c r="V15" s="14" t="n">
        <f aca="false">Assumptions!$C$85*V9</f>
        <v>257.5</v>
      </c>
      <c r="W15" s="14" t="n">
        <f aca="false">Assumptions!$C$85*W9</f>
        <v>257.5</v>
      </c>
      <c r="X15" s="14" t="n">
        <f aca="false">Assumptions!$C$85*X9</f>
        <v>257.5</v>
      </c>
      <c r="Y15" s="14" t="n">
        <f aca="false">Assumptions!$C$85*Y9</f>
        <v>257.5</v>
      </c>
      <c r="Z15" s="14" t="n">
        <f aca="false">Assumptions!$C$85*Z9</f>
        <v>257.5</v>
      </c>
      <c r="AA15" s="14" t="n">
        <f aca="false">Assumptions!$C$85*AA9</f>
        <v>265.225</v>
      </c>
      <c r="AB15" s="14" t="n">
        <f aca="false">Assumptions!$C$85*AB9</f>
        <v>265.225</v>
      </c>
      <c r="AC15" s="14" t="n">
        <f aca="false">Assumptions!$C$85*AC9</f>
        <v>265.225</v>
      </c>
      <c r="AD15" s="14" t="n">
        <f aca="false">Assumptions!$C$85*AD9</f>
        <v>265.225</v>
      </c>
      <c r="AE15" s="14" t="n">
        <f aca="false">Assumptions!$C$85*AE9</f>
        <v>265.225</v>
      </c>
      <c r="AF15" s="14" t="n">
        <f aca="false">Assumptions!$C$85*AF9</f>
        <v>265.225</v>
      </c>
      <c r="AG15" s="14" t="n">
        <f aca="false">Assumptions!$C$85*AG9</f>
        <v>265.225</v>
      </c>
      <c r="AH15" s="14" t="n">
        <f aca="false">Assumptions!$C$85*AH9</f>
        <v>265.225</v>
      </c>
      <c r="AI15" s="14" t="n">
        <f aca="false">Assumptions!$C$85*AI9</f>
        <v>265.225</v>
      </c>
      <c r="AJ15" s="14" t="n">
        <f aca="false">Assumptions!$C$85*AJ9</f>
        <v>265.225</v>
      </c>
      <c r="AK15" s="14" t="n">
        <f aca="false">Assumptions!$C$85*AK9</f>
        <v>265.225</v>
      </c>
      <c r="AL15" s="14" t="n">
        <f aca="false">Assumptions!$C$85*AL9</f>
        <v>265.225</v>
      </c>
      <c r="AM15" s="14" t="n">
        <f aca="false">Assumptions!$C$85*AM9</f>
        <v>273.18175</v>
      </c>
      <c r="AN15" s="14" t="n">
        <f aca="false">Assumptions!$C$85*AN9</f>
        <v>273.18175</v>
      </c>
      <c r="AO15" s="14" t="n">
        <f aca="false">Assumptions!$C$85*AO9</f>
        <v>273.18175</v>
      </c>
      <c r="AP15" s="14" t="n">
        <f aca="false">Assumptions!$C$85*AP9</f>
        <v>273.18175</v>
      </c>
      <c r="AQ15" s="14" t="n">
        <f aca="false">Assumptions!$C$85*AQ9</f>
        <v>273.18175</v>
      </c>
      <c r="AR15" s="14" t="n">
        <f aca="false">Assumptions!$C$85*AR9</f>
        <v>273.18175</v>
      </c>
      <c r="AS15" s="14" t="n">
        <f aca="false">Assumptions!$C$85*AS9</f>
        <v>273.18175</v>
      </c>
      <c r="AT15" s="14" t="n">
        <f aca="false">Assumptions!$C$85*AT9</f>
        <v>273.18175</v>
      </c>
      <c r="AU15" s="14" t="n">
        <f aca="false">Assumptions!$C$85*AU9</f>
        <v>273.18175</v>
      </c>
      <c r="AV15" s="14" t="n">
        <f aca="false">Assumptions!$C$85*AV9</f>
        <v>273.18175</v>
      </c>
      <c r="AW15" s="14" t="n">
        <f aca="false">Assumptions!$C$85*AW9</f>
        <v>273.18175</v>
      </c>
      <c r="AX15" s="14" t="n">
        <f aca="false">Assumptions!$C$85*AX9</f>
        <v>273.18175</v>
      </c>
      <c r="AY15" s="14" t="n">
        <f aca="false">Assumptions!$C$85*AY9</f>
        <v>281.3772025</v>
      </c>
      <c r="AZ15" s="14" t="n">
        <f aca="false">Assumptions!$C$85*AZ9</f>
        <v>281.3772025</v>
      </c>
      <c r="BA15" s="14" t="n">
        <f aca="false">Assumptions!$C$85*BA9</f>
        <v>281.3772025</v>
      </c>
      <c r="BB15" s="14" t="n">
        <f aca="false">Assumptions!$C$85*BB9</f>
        <v>281.3772025</v>
      </c>
      <c r="BC15" s="14" t="n">
        <f aca="false">Assumptions!$C$85*BC9</f>
        <v>281.3772025</v>
      </c>
      <c r="BD15" s="14" t="n">
        <f aca="false">Assumptions!$C$85*BD9</f>
        <v>281.3772025</v>
      </c>
      <c r="BE15" s="14" t="n">
        <f aca="false">Assumptions!$C$85*BE9</f>
        <v>281.3772025</v>
      </c>
      <c r="BF15" s="14" t="n">
        <f aca="false">Assumptions!$C$85*BF9</f>
        <v>281.3772025</v>
      </c>
      <c r="BG15" s="14" t="n">
        <f aca="false">Assumptions!$C$85*BG9</f>
        <v>281.3772025</v>
      </c>
      <c r="BH15" s="14" t="n">
        <f aca="false">Assumptions!$C$85*BH9</f>
        <v>281.3772025</v>
      </c>
      <c r="BI15" s="14" t="n">
        <f aca="false">Assumptions!$C$85*BI9</f>
        <v>281.3772025</v>
      </c>
      <c r="BJ15" s="14" t="n">
        <f aca="false">Assumptions!$C$85*BJ9</f>
        <v>281.3772025</v>
      </c>
      <c r="BK15" s="43" t="n">
        <f aca="false">SUMIF($C$5:$BJ$5,BK$5,$C15:$BJ15)</f>
        <v>3000</v>
      </c>
      <c r="BL15" s="43" t="n">
        <f aca="false">SUMIF($C$5:$BJ$5,BL$5,$C15:$BJ15)</f>
        <v>3090</v>
      </c>
      <c r="BM15" s="43" t="n">
        <f aca="false">SUMIF($C$5:$BJ$5,BM$5,$C15:$BJ15)</f>
        <v>3182.7</v>
      </c>
      <c r="BN15" s="43" t="n">
        <f aca="false">SUMIF($C$5:$BJ$5,BN$5,$C15:$BJ15)</f>
        <v>3278.181</v>
      </c>
      <c r="BO15" s="43" t="n">
        <f aca="false">SUMIF($C$5:$BJ$5,BO$5,$C15:$BJ15)</f>
        <v>3376.52643</v>
      </c>
    </row>
    <row r="16" customFormat="false" ht="15" hidden="false" customHeight="false" outlineLevel="0" collapsed="false">
      <c r="A16" s="18" t="s">
        <v>256</v>
      </c>
      <c r="B16" s="2"/>
      <c r="C16" s="14" t="n">
        <f aca="false">Assumptions!$C$86*C9</f>
        <v>400</v>
      </c>
      <c r="D16" s="14" t="n">
        <f aca="false">Assumptions!$C$86*D9</f>
        <v>400</v>
      </c>
      <c r="E16" s="14" t="n">
        <f aca="false">Assumptions!$C$86*E9</f>
        <v>400</v>
      </c>
      <c r="F16" s="14" t="n">
        <f aca="false">Assumptions!$C$86*F9</f>
        <v>400</v>
      </c>
      <c r="G16" s="14" t="n">
        <f aca="false">Assumptions!$C$86*G9</f>
        <v>400</v>
      </c>
      <c r="H16" s="14" t="n">
        <f aca="false">Assumptions!$C$86*H9</f>
        <v>400</v>
      </c>
      <c r="I16" s="14" t="n">
        <f aca="false">Assumptions!$C$86*I9</f>
        <v>400</v>
      </c>
      <c r="J16" s="14" t="n">
        <f aca="false">Assumptions!$C$86*J9</f>
        <v>400</v>
      </c>
      <c r="K16" s="14" t="n">
        <f aca="false">Assumptions!$C$86*K9</f>
        <v>400</v>
      </c>
      <c r="L16" s="14" t="n">
        <f aca="false">Assumptions!$C$86*L9</f>
        <v>400</v>
      </c>
      <c r="M16" s="14" t="n">
        <f aca="false">Assumptions!$C$86*M9</f>
        <v>400</v>
      </c>
      <c r="N16" s="14" t="n">
        <f aca="false">Assumptions!$C$86*N9</f>
        <v>400</v>
      </c>
      <c r="O16" s="14" t="n">
        <f aca="false">Assumptions!$C$86*O9</f>
        <v>412</v>
      </c>
      <c r="P16" s="14" t="n">
        <f aca="false">Assumptions!$C$86*P9</f>
        <v>412</v>
      </c>
      <c r="Q16" s="14" t="n">
        <f aca="false">Assumptions!$C$86*Q9</f>
        <v>412</v>
      </c>
      <c r="R16" s="14" t="n">
        <f aca="false">Assumptions!$C$86*R9</f>
        <v>412</v>
      </c>
      <c r="S16" s="14" t="n">
        <f aca="false">Assumptions!$C$86*S9</f>
        <v>412</v>
      </c>
      <c r="T16" s="14" t="n">
        <f aca="false">Assumptions!$C$86*T9</f>
        <v>412</v>
      </c>
      <c r="U16" s="14" t="n">
        <f aca="false">Assumptions!$C$86*U9</f>
        <v>412</v>
      </c>
      <c r="V16" s="14" t="n">
        <f aca="false">Assumptions!$C$86*V9</f>
        <v>412</v>
      </c>
      <c r="W16" s="14" t="n">
        <f aca="false">Assumptions!$C$86*W9</f>
        <v>412</v>
      </c>
      <c r="X16" s="14" t="n">
        <f aca="false">Assumptions!$C$86*X9</f>
        <v>412</v>
      </c>
      <c r="Y16" s="14" t="n">
        <f aca="false">Assumptions!$C$86*Y9</f>
        <v>412</v>
      </c>
      <c r="Z16" s="14" t="n">
        <f aca="false">Assumptions!$C$86*Z9</f>
        <v>412</v>
      </c>
      <c r="AA16" s="14" t="n">
        <f aca="false">Assumptions!$C$86*AA9</f>
        <v>424.36</v>
      </c>
      <c r="AB16" s="14" t="n">
        <f aca="false">Assumptions!$C$86*AB9</f>
        <v>424.36</v>
      </c>
      <c r="AC16" s="14" t="n">
        <f aca="false">Assumptions!$C$86*AC9</f>
        <v>424.36</v>
      </c>
      <c r="AD16" s="14" t="n">
        <f aca="false">Assumptions!$C$86*AD9</f>
        <v>424.36</v>
      </c>
      <c r="AE16" s="14" t="n">
        <f aca="false">Assumptions!$C$86*AE9</f>
        <v>424.36</v>
      </c>
      <c r="AF16" s="14" t="n">
        <f aca="false">Assumptions!$C$86*AF9</f>
        <v>424.36</v>
      </c>
      <c r="AG16" s="14" t="n">
        <f aca="false">Assumptions!$C$86*AG9</f>
        <v>424.36</v>
      </c>
      <c r="AH16" s="14" t="n">
        <f aca="false">Assumptions!$C$86*AH9</f>
        <v>424.36</v>
      </c>
      <c r="AI16" s="14" t="n">
        <f aca="false">Assumptions!$C$86*AI9</f>
        <v>424.36</v>
      </c>
      <c r="AJ16" s="14" t="n">
        <f aca="false">Assumptions!$C$86*AJ9</f>
        <v>424.36</v>
      </c>
      <c r="AK16" s="14" t="n">
        <f aca="false">Assumptions!$C$86*AK9</f>
        <v>424.36</v>
      </c>
      <c r="AL16" s="14" t="n">
        <f aca="false">Assumptions!$C$86*AL9</f>
        <v>424.36</v>
      </c>
      <c r="AM16" s="14" t="n">
        <f aca="false">Assumptions!$C$86*AM9</f>
        <v>437.0908</v>
      </c>
      <c r="AN16" s="14" t="n">
        <f aca="false">Assumptions!$C$86*AN9</f>
        <v>437.0908</v>
      </c>
      <c r="AO16" s="14" t="n">
        <f aca="false">Assumptions!$C$86*AO9</f>
        <v>437.0908</v>
      </c>
      <c r="AP16" s="14" t="n">
        <f aca="false">Assumptions!$C$86*AP9</f>
        <v>437.0908</v>
      </c>
      <c r="AQ16" s="14" t="n">
        <f aca="false">Assumptions!$C$86*AQ9</f>
        <v>437.0908</v>
      </c>
      <c r="AR16" s="14" t="n">
        <f aca="false">Assumptions!$C$86*AR9</f>
        <v>437.0908</v>
      </c>
      <c r="AS16" s="14" t="n">
        <f aca="false">Assumptions!$C$86*AS9</f>
        <v>437.0908</v>
      </c>
      <c r="AT16" s="14" t="n">
        <f aca="false">Assumptions!$C$86*AT9</f>
        <v>437.0908</v>
      </c>
      <c r="AU16" s="14" t="n">
        <f aca="false">Assumptions!$C$86*AU9</f>
        <v>437.0908</v>
      </c>
      <c r="AV16" s="14" t="n">
        <f aca="false">Assumptions!$C$86*AV9</f>
        <v>437.0908</v>
      </c>
      <c r="AW16" s="14" t="n">
        <f aca="false">Assumptions!$C$86*AW9</f>
        <v>437.0908</v>
      </c>
      <c r="AX16" s="14" t="n">
        <f aca="false">Assumptions!$C$86*AX9</f>
        <v>437.0908</v>
      </c>
      <c r="AY16" s="14" t="n">
        <f aca="false">Assumptions!$C$86*AY9</f>
        <v>450.203524</v>
      </c>
      <c r="AZ16" s="14" t="n">
        <f aca="false">Assumptions!$C$86*AZ9</f>
        <v>450.203524</v>
      </c>
      <c r="BA16" s="14" t="n">
        <f aca="false">Assumptions!$C$86*BA9</f>
        <v>450.203524</v>
      </c>
      <c r="BB16" s="14" t="n">
        <f aca="false">Assumptions!$C$86*BB9</f>
        <v>450.203524</v>
      </c>
      <c r="BC16" s="14" t="n">
        <f aca="false">Assumptions!$C$86*BC9</f>
        <v>450.203524</v>
      </c>
      <c r="BD16" s="14" t="n">
        <f aca="false">Assumptions!$C$86*BD9</f>
        <v>450.203524</v>
      </c>
      <c r="BE16" s="14" t="n">
        <f aca="false">Assumptions!$C$86*BE9</f>
        <v>450.203524</v>
      </c>
      <c r="BF16" s="14" t="n">
        <f aca="false">Assumptions!$C$86*BF9</f>
        <v>450.203524</v>
      </c>
      <c r="BG16" s="14" t="n">
        <f aca="false">Assumptions!$C$86*BG9</f>
        <v>450.203524</v>
      </c>
      <c r="BH16" s="14" t="n">
        <f aca="false">Assumptions!$C$86*BH9</f>
        <v>450.203524</v>
      </c>
      <c r="BI16" s="14" t="n">
        <f aca="false">Assumptions!$C$86*BI9</f>
        <v>450.203524</v>
      </c>
      <c r="BJ16" s="14" t="n">
        <f aca="false">Assumptions!$C$86*BJ9</f>
        <v>450.203524</v>
      </c>
      <c r="BK16" s="43" t="n">
        <f aca="false">SUMIF($C$5:$BJ$5,BK$5,$C16:$BJ16)</f>
        <v>4800</v>
      </c>
      <c r="BL16" s="43" t="n">
        <f aca="false">SUMIF($C$5:$BJ$5,BL$5,$C16:$BJ16)</f>
        <v>4944</v>
      </c>
      <c r="BM16" s="43" t="n">
        <f aca="false">SUMIF($C$5:$BJ$5,BM$5,$C16:$BJ16)</f>
        <v>5092.32</v>
      </c>
      <c r="BN16" s="43" t="n">
        <f aca="false">SUMIF($C$5:$BJ$5,BN$5,$C16:$BJ16)</f>
        <v>5245.0896</v>
      </c>
      <c r="BO16" s="43" t="n">
        <f aca="false">SUMIF($C$5:$BJ$5,BO$5,$C16:$BJ16)</f>
        <v>5402.442288</v>
      </c>
    </row>
    <row r="17" customFormat="false" ht="15" hidden="false" customHeight="false" outlineLevel="0" collapsed="false">
      <c r="A17" s="18" t="s">
        <v>257</v>
      </c>
      <c r="B17" s="2"/>
      <c r="C17" s="14" t="n">
        <f aca="false">Assumptions!$C$87*C9</f>
        <v>400</v>
      </c>
      <c r="D17" s="14" t="n">
        <f aca="false">Assumptions!$C$87*D9</f>
        <v>400</v>
      </c>
      <c r="E17" s="14" t="n">
        <f aca="false">Assumptions!$C$87*E9</f>
        <v>400</v>
      </c>
      <c r="F17" s="14" t="n">
        <f aca="false">Assumptions!$C$87*F9</f>
        <v>400</v>
      </c>
      <c r="G17" s="14" t="n">
        <f aca="false">Assumptions!$C$87*G9</f>
        <v>400</v>
      </c>
      <c r="H17" s="14" t="n">
        <f aca="false">Assumptions!$C$87*H9</f>
        <v>400</v>
      </c>
      <c r="I17" s="14" t="n">
        <f aca="false">Assumptions!$C$87*I9</f>
        <v>400</v>
      </c>
      <c r="J17" s="14" t="n">
        <f aca="false">Assumptions!$C$87*J9</f>
        <v>400</v>
      </c>
      <c r="K17" s="14" t="n">
        <f aca="false">Assumptions!$C$87*K9</f>
        <v>400</v>
      </c>
      <c r="L17" s="14" t="n">
        <f aca="false">Assumptions!$C$87*L9</f>
        <v>400</v>
      </c>
      <c r="M17" s="14" t="n">
        <f aca="false">Assumptions!$C$87*M9</f>
        <v>400</v>
      </c>
      <c r="N17" s="14" t="n">
        <f aca="false">Assumptions!$C$87*N9</f>
        <v>400</v>
      </c>
      <c r="O17" s="14" t="n">
        <f aca="false">Assumptions!$C$87*O9</f>
        <v>412</v>
      </c>
      <c r="P17" s="14" t="n">
        <f aca="false">Assumptions!$C$87*P9</f>
        <v>412</v>
      </c>
      <c r="Q17" s="14" t="n">
        <f aca="false">Assumptions!$C$87*Q9</f>
        <v>412</v>
      </c>
      <c r="R17" s="14" t="n">
        <f aca="false">Assumptions!$C$87*R9</f>
        <v>412</v>
      </c>
      <c r="S17" s="14" t="n">
        <f aca="false">Assumptions!$C$87*S9</f>
        <v>412</v>
      </c>
      <c r="T17" s="14" t="n">
        <f aca="false">Assumptions!$C$87*T9</f>
        <v>412</v>
      </c>
      <c r="U17" s="14" t="n">
        <f aca="false">Assumptions!$C$87*U9</f>
        <v>412</v>
      </c>
      <c r="V17" s="14" t="n">
        <f aca="false">Assumptions!$C$87*V9</f>
        <v>412</v>
      </c>
      <c r="W17" s="14" t="n">
        <f aca="false">Assumptions!$C$87*W9</f>
        <v>412</v>
      </c>
      <c r="X17" s="14" t="n">
        <f aca="false">Assumptions!$C$87*X9</f>
        <v>412</v>
      </c>
      <c r="Y17" s="14" t="n">
        <f aca="false">Assumptions!$C$87*Y9</f>
        <v>412</v>
      </c>
      <c r="Z17" s="14" t="n">
        <f aca="false">Assumptions!$C$87*Z9</f>
        <v>412</v>
      </c>
      <c r="AA17" s="14" t="n">
        <f aca="false">Assumptions!$C$87*AA9</f>
        <v>424.36</v>
      </c>
      <c r="AB17" s="14" t="n">
        <f aca="false">Assumptions!$C$87*AB9</f>
        <v>424.36</v>
      </c>
      <c r="AC17" s="14" t="n">
        <f aca="false">Assumptions!$C$87*AC9</f>
        <v>424.36</v>
      </c>
      <c r="AD17" s="14" t="n">
        <f aca="false">Assumptions!$C$87*AD9</f>
        <v>424.36</v>
      </c>
      <c r="AE17" s="14" t="n">
        <f aca="false">Assumptions!$C$87*AE9</f>
        <v>424.36</v>
      </c>
      <c r="AF17" s="14" t="n">
        <f aca="false">Assumptions!$C$87*AF9</f>
        <v>424.36</v>
      </c>
      <c r="AG17" s="14" t="n">
        <f aca="false">Assumptions!$C$87*AG9</f>
        <v>424.36</v>
      </c>
      <c r="AH17" s="14" t="n">
        <f aca="false">Assumptions!$C$87*AH9</f>
        <v>424.36</v>
      </c>
      <c r="AI17" s="14" t="n">
        <f aca="false">Assumptions!$C$87*AI9</f>
        <v>424.36</v>
      </c>
      <c r="AJ17" s="14" t="n">
        <f aca="false">Assumptions!$C$87*AJ9</f>
        <v>424.36</v>
      </c>
      <c r="AK17" s="14" t="n">
        <f aca="false">Assumptions!$C$87*AK9</f>
        <v>424.36</v>
      </c>
      <c r="AL17" s="14" t="n">
        <f aca="false">Assumptions!$C$87*AL9</f>
        <v>424.36</v>
      </c>
      <c r="AM17" s="14" t="n">
        <f aca="false">Assumptions!$C$87*AM9</f>
        <v>437.0908</v>
      </c>
      <c r="AN17" s="14" t="n">
        <f aca="false">Assumptions!$C$87*AN9</f>
        <v>437.0908</v>
      </c>
      <c r="AO17" s="14" t="n">
        <f aca="false">Assumptions!$C$87*AO9</f>
        <v>437.0908</v>
      </c>
      <c r="AP17" s="14" t="n">
        <f aca="false">Assumptions!$C$87*AP9</f>
        <v>437.0908</v>
      </c>
      <c r="AQ17" s="14" t="n">
        <f aca="false">Assumptions!$C$87*AQ9</f>
        <v>437.0908</v>
      </c>
      <c r="AR17" s="14" t="n">
        <f aca="false">Assumptions!$C$87*AR9</f>
        <v>437.0908</v>
      </c>
      <c r="AS17" s="14" t="n">
        <f aca="false">Assumptions!$C$87*AS9</f>
        <v>437.0908</v>
      </c>
      <c r="AT17" s="14" t="n">
        <f aca="false">Assumptions!$C$87*AT9</f>
        <v>437.0908</v>
      </c>
      <c r="AU17" s="14" t="n">
        <f aca="false">Assumptions!$C$87*AU9</f>
        <v>437.0908</v>
      </c>
      <c r="AV17" s="14" t="n">
        <f aca="false">Assumptions!$C$87*AV9</f>
        <v>437.0908</v>
      </c>
      <c r="AW17" s="14" t="n">
        <f aca="false">Assumptions!$C$87*AW9</f>
        <v>437.0908</v>
      </c>
      <c r="AX17" s="14" t="n">
        <f aca="false">Assumptions!$C$87*AX9</f>
        <v>437.0908</v>
      </c>
      <c r="AY17" s="14" t="n">
        <f aca="false">Assumptions!$C$87*AY9</f>
        <v>450.203524</v>
      </c>
      <c r="AZ17" s="14" t="n">
        <f aca="false">Assumptions!$C$87*AZ9</f>
        <v>450.203524</v>
      </c>
      <c r="BA17" s="14" t="n">
        <f aca="false">Assumptions!$C$87*BA9</f>
        <v>450.203524</v>
      </c>
      <c r="BB17" s="14" t="n">
        <f aca="false">Assumptions!$C$87*BB9</f>
        <v>450.203524</v>
      </c>
      <c r="BC17" s="14" t="n">
        <f aca="false">Assumptions!$C$87*BC9</f>
        <v>450.203524</v>
      </c>
      <c r="BD17" s="14" t="n">
        <f aca="false">Assumptions!$C$87*BD9</f>
        <v>450.203524</v>
      </c>
      <c r="BE17" s="14" t="n">
        <f aca="false">Assumptions!$C$87*BE9</f>
        <v>450.203524</v>
      </c>
      <c r="BF17" s="14" t="n">
        <f aca="false">Assumptions!$C$87*BF9</f>
        <v>450.203524</v>
      </c>
      <c r="BG17" s="14" t="n">
        <f aca="false">Assumptions!$C$87*BG9</f>
        <v>450.203524</v>
      </c>
      <c r="BH17" s="14" t="n">
        <f aca="false">Assumptions!$C$87*BH9</f>
        <v>450.203524</v>
      </c>
      <c r="BI17" s="14" t="n">
        <f aca="false">Assumptions!$C$87*BI9</f>
        <v>450.203524</v>
      </c>
      <c r="BJ17" s="14" t="n">
        <f aca="false">Assumptions!$C$87*BJ9</f>
        <v>450.203524</v>
      </c>
      <c r="BK17" s="43" t="n">
        <f aca="false">SUMIF($C$5:$BJ$5,BK$5,$C17:$BJ17)</f>
        <v>4800</v>
      </c>
      <c r="BL17" s="43" t="n">
        <f aca="false">SUMIF($C$5:$BJ$5,BL$5,$C17:$BJ17)</f>
        <v>4944</v>
      </c>
      <c r="BM17" s="43" t="n">
        <f aca="false">SUMIF($C$5:$BJ$5,BM$5,$C17:$BJ17)</f>
        <v>5092.32</v>
      </c>
      <c r="BN17" s="43" t="n">
        <f aca="false">SUMIF($C$5:$BJ$5,BN$5,$C17:$BJ17)</f>
        <v>5245.0896</v>
      </c>
      <c r="BO17" s="43" t="n">
        <f aca="false">SUMIF($C$5:$BJ$5,BO$5,$C17:$BJ17)</f>
        <v>5402.442288</v>
      </c>
    </row>
    <row r="18" customFormat="false" ht="15" hidden="false" customHeight="false" outlineLevel="0" collapsed="false">
      <c r="A18" s="18" t="s">
        <v>258</v>
      </c>
      <c r="B18" s="2"/>
      <c r="C18" s="14" t="n">
        <f aca="false">Assumptions!$C$88*C9</f>
        <v>500</v>
      </c>
      <c r="D18" s="14" t="n">
        <f aca="false">Assumptions!$C$88*D9</f>
        <v>500</v>
      </c>
      <c r="E18" s="14" t="n">
        <f aca="false">Assumptions!$C$88*E9</f>
        <v>500</v>
      </c>
      <c r="F18" s="14" t="n">
        <f aca="false">Assumptions!$C$88*F9</f>
        <v>500</v>
      </c>
      <c r="G18" s="14" t="n">
        <f aca="false">Assumptions!$C$88*G9</f>
        <v>500</v>
      </c>
      <c r="H18" s="14" t="n">
        <f aca="false">Assumptions!$C$88*H9</f>
        <v>500</v>
      </c>
      <c r="I18" s="14" t="n">
        <f aca="false">Assumptions!$C$88*I9</f>
        <v>500</v>
      </c>
      <c r="J18" s="14" t="n">
        <f aca="false">Assumptions!$C$88*J9</f>
        <v>500</v>
      </c>
      <c r="K18" s="14" t="n">
        <f aca="false">Assumptions!$C$88*K9</f>
        <v>500</v>
      </c>
      <c r="L18" s="14" t="n">
        <f aca="false">Assumptions!$C$88*L9</f>
        <v>500</v>
      </c>
      <c r="M18" s="14" t="n">
        <f aca="false">Assumptions!$C$88*M9</f>
        <v>500</v>
      </c>
      <c r="N18" s="14" t="n">
        <f aca="false">Assumptions!$C$88*N9</f>
        <v>500</v>
      </c>
      <c r="O18" s="14" t="n">
        <f aca="false">Assumptions!$C$88*O9</f>
        <v>515</v>
      </c>
      <c r="P18" s="14" t="n">
        <f aca="false">Assumptions!$C$88*P9</f>
        <v>515</v>
      </c>
      <c r="Q18" s="14" t="n">
        <f aca="false">Assumptions!$C$88*Q9</f>
        <v>515</v>
      </c>
      <c r="R18" s="14" t="n">
        <f aca="false">Assumptions!$C$88*R9</f>
        <v>515</v>
      </c>
      <c r="S18" s="14" t="n">
        <f aca="false">Assumptions!$C$88*S9</f>
        <v>515</v>
      </c>
      <c r="T18" s="14" t="n">
        <f aca="false">Assumptions!$C$88*T9</f>
        <v>515</v>
      </c>
      <c r="U18" s="14" t="n">
        <f aca="false">Assumptions!$C$88*U9</f>
        <v>515</v>
      </c>
      <c r="V18" s="14" t="n">
        <f aca="false">Assumptions!$C$88*V9</f>
        <v>515</v>
      </c>
      <c r="W18" s="14" t="n">
        <f aca="false">Assumptions!$C$88*W9</f>
        <v>515</v>
      </c>
      <c r="X18" s="14" t="n">
        <f aca="false">Assumptions!$C$88*X9</f>
        <v>515</v>
      </c>
      <c r="Y18" s="14" t="n">
        <f aca="false">Assumptions!$C$88*Y9</f>
        <v>515</v>
      </c>
      <c r="Z18" s="14" t="n">
        <f aca="false">Assumptions!$C$88*Z9</f>
        <v>515</v>
      </c>
      <c r="AA18" s="14" t="n">
        <f aca="false">Assumptions!$C$88*AA9</f>
        <v>530.45</v>
      </c>
      <c r="AB18" s="14" t="n">
        <f aca="false">Assumptions!$C$88*AB9</f>
        <v>530.45</v>
      </c>
      <c r="AC18" s="14" t="n">
        <f aca="false">Assumptions!$C$88*AC9</f>
        <v>530.45</v>
      </c>
      <c r="AD18" s="14" t="n">
        <f aca="false">Assumptions!$C$88*AD9</f>
        <v>530.45</v>
      </c>
      <c r="AE18" s="14" t="n">
        <f aca="false">Assumptions!$C$88*AE9</f>
        <v>530.45</v>
      </c>
      <c r="AF18" s="14" t="n">
        <f aca="false">Assumptions!$C$88*AF9</f>
        <v>530.45</v>
      </c>
      <c r="AG18" s="14" t="n">
        <f aca="false">Assumptions!$C$88*AG9</f>
        <v>530.45</v>
      </c>
      <c r="AH18" s="14" t="n">
        <f aca="false">Assumptions!$C$88*AH9</f>
        <v>530.45</v>
      </c>
      <c r="AI18" s="14" t="n">
        <f aca="false">Assumptions!$C$88*AI9</f>
        <v>530.45</v>
      </c>
      <c r="AJ18" s="14" t="n">
        <f aca="false">Assumptions!$C$88*AJ9</f>
        <v>530.45</v>
      </c>
      <c r="AK18" s="14" t="n">
        <f aca="false">Assumptions!$C$88*AK9</f>
        <v>530.45</v>
      </c>
      <c r="AL18" s="14" t="n">
        <f aca="false">Assumptions!$C$88*AL9</f>
        <v>530.45</v>
      </c>
      <c r="AM18" s="14" t="n">
        <f aca="false">Assumptions!$C$88*AM9</f>
        <v>546.3635</v>
      </c>
      <c r="AN18" s="14" t="n">
        <f aca="false">Assumptions!$C$88*AN9</f>
        <v>546.3635</v>
      </c>
      <c r="AO18" s="14" t="n">
        <f aca="false">Assumptions!$C$88*AO9</f>
        <v>546.3635</v>
      </c>
      <c r="AP18" s="14" t="n">
        <f aca="false">Assumptions!$C$88*AP9</f>
        <v>546.3635</v>
      </c>
      <c r="AQ18" s="14" t="n">
        <f aca="false">Assumptions!$C$88*AQ9</f>
        <v>546.3635</v>
      </c>
      <c r="AR18" s="14" t="n">
        <f aca="false">Assumptions!$C$88*AR9</f>
        <v>546.3635</v>
      </c>
      <c r="AS18" s="14" t="n">
        <f aca="false">Assumptions!$C$88*AS9</f>
        <v>546.3635</v>
      </c>
      <c r="AT18" s="14" t="n">
        <f aca="false">Assumptions!$C$88*AT9</f>
        <v>546.3635</v>
      </c>
      <c r="AU18" s="14" t="n">
        <f aca="false">Assumptions!$C$88*AU9</f>
        <v>546.3635</v>
      </c>
      <c r="AV18" s="14" t="n">
        <f aca="false">Assumptions!$C$88*AV9</f>
        <v>546.3635</v>
      </c>
      <c r="AW18" s="14" t="n">
        <f aca="false">Assumptions!$C$88*AW9</f>
        <v>546.3635</v>
      </c>
      <c r="AX18" s="14" t="n">
        <f aca="false">Assumptions!$C$88*AX9</f>
        <v>546.3635</v>
      </c>
      <c r="AY18" s="14" t="n">
        <f aca="false">Assumptions!$C$88*AY9</f>
        <v>562.754405</v>
      </c>
      <c r="AZ18" s="14" t="n">
        <f aca="false">Assumptions!$C$88*AZ9</f>
        <v>562.754405</v>
      </c>
      <c r="BA18" s="14" t="n">
        <f aca="false">Assumptions!$C$88*BA9</f>
        <v>562.754405</v>
      </c>
      <c r="BB18" s="14" t="n">
        <f aca="false">Assumptions!$C$88*BB9</f>
        <v>562.754405</v>
      </c>
      <c r="BC18" s="14" t="n">
        <f aca="false">Assumptions!$C$88*BC9</f>
        <v>562.754405</v>
      </c>
      <c r="BD18" s="14" t="n">
        <f aca="false">Assumptions!$C$88*BD9</f>
        <v>562.754405</v>
      </c>
      <c r="BE18" s="14" t="n">
        <f aca="false">Assumptions!$C$88*BE9</f>
        <v>562.754405</v>
      </c>
      <c r="BF18" s="14" t="n">
        <f aca="false">Assumptions!$C$88*BF9</f>
        <v>562.754405</v>
      </c>
      <c r="BG18" s="14" t="n">
        <f aca="false">Assumptions!$C$88*BG9</f>
        <v>562.754405</v>
      </c>
      <c r="BH18" s="14" t="n">
        <f aca="false">Assumptions!$C$88*BH9</f>
        <v>562.754405</v>
      </c>
      <c r="BI18" s="14" t="n">
        <f aca="false">Assumptions!$C$88*BI9</f>
        <v>562.754405</v>
      </c>
      <c r="BJ18" s="14" t="n">
        <f aca="false">Assumptions!$C$88*BJ9</f>
        <v>562.754405</v>
      </c>
      <c r="BK18" s="43" t="n">
        <f aca="false">SUMIF($C$5:$BJ$5,BK$5,$C18:$BJ18)</f>
        <v>6000</v>
      </c>
      <c r="BL18" s="43" t="n">
        <f aca="false">SUMIF($C$5:$BJ$5,BL$5,$C18:$BJ18)</f>
        <v>6180</v>
      </c>
      <c r="BM18" s="43" t="n">
        <f aca="false">SUMIF($C$5:$BJ$5,BM$5,$C18:$BJ18)</f>
        <v>6365.4</v>
      </c>
      <c r="BN18" s="43" t="n">
        <f aca="false">SUMIF($C$5:$BJ$5,BN$5,$C18:$BJ18)</f>
        <v>6556.362</v>
      </c>
      <c r="BO18" s="43" t="n">
        <f aca="false">SUMIF($C$5:$BJ$5,BO$5,$C18:$BJ18)</f>
        <v>6753.05286</v>
      </c>
    </row>
    <row r="19" customFormat="false" ht="15" hidden="false" customHeight="false" outlineLevel="0" collapsed="false">
      <c r="A19" s="18" t="s">
        <v>259</v>
      </c>
      <c r="B19" s="2"/>
      <c r="C19" s="14" t="n">
        <f aca="false">Assumptions!$C$89*C9</f>
        <v>300</v>
      </c>
      <c r="D19" s="14" t="n">
        <f aca="false">Assumptions!$C$89*D9</f>
        <v>300</v>
      </c>
      <c r="E19" s="14" t="n">
        <f aca="false">Assumptions!$C$89*E9</f>
        <v>300</v>
      </c>
      <c r="F19" s="14" t="n">
        <f aca="false">Assumptions!$C$89*F9</f>
        <v>300</v>
      </c>
      <c r="G19" s="14" t="n">
        <f aca="false">Assumptions!$C$89*G9</f>
        <v>300</v>
      </c>
      <c r="H19" s="14" t="n">
        <f aca="false">Assumptions!$C$89*H9</f>
        <v>300</v>
      </c>
      <c r="I19" s="14" t="n">
        <f aca="false">Assumptions!$C$89*I9</f>
        <v>300</v>
      </c>
      <c r="J19" s="14" t="n">
        <f aca="false">Assumptions!$C$89*J9</f>
        <v>300</v>
      </c>
      <c r="K19" s="14" t="n">
        <f aca="false">Assumptions!$C$89*K9</f>
        <v>300</v>
      </c>
      <c r="L19" s="14" t="n">
        <f aca="false">Assumptions!$C$89*L9</f>
        <v>300</v>
      </c>
      <c r="M19" s="14" t="n">
        <f aca="false">Assumptions!$C$89*M9</f>
        <v>300</v>
      </c>
      <c r="N19" s="14" t="n">
        <f aca="false">Assumptions!$C$89*N9</f>
        <v>300</v>
      </c>
      <c r="O19" s="14" t="n">
        <f aca="false">Assumptions!$C$89*O9</f>
        <v>309</v>
      </c>
      <c r="P19" s="14" t="n">
        <f aca="false">Assumptions!$C$89*P9</f>
        <v>309</v>
      </c>
      <c r="Q19" s="14" t="n">
        <f aca="false">Assumptions!$C$89*Q9</f>
        <v>309</v>
      </c>
      <c r="R19" s="14" t="n">
        <f aca="false">Assumptions!$C$89*R9</f>
        <v>309</v>
      </c>
      <c r="S19" s="14" t="n">
        <f aca="false">Assumptions!$C$89*S9</f>
        <v>309</v>
      </c>
      <c r="T19" s="14" t="n">
        <f aca="false">Assumptions!$C$89*T9</f>
        <v>309</v>
      </c>
      <c r="U19" s="14" t="n">
        <f aca="false">Assumptions!$C$89*U9</f>
        <v>309</v>
      </c>
      <c r="V19" s="14" t="n">
        <f aca="false">Assumptions!$C$89*V9</f>
        <v>309</v>
      </c>
      <c r="W19" s="14" t="n">
        <f aca="false">Assumptions!$C$89*W9</f>
        <v>309</v>
      </c>
      <c r="X19" s="14" t="n">
        <f aca="false">Assumptions!$C$89*X9</f>
        <v>309</v>
      </c>
      <c r="Y19" s="14" t="n">
        <f aca="false">Assumptions!$C$89*Y9</f>
        <v>309</v>
      </c>
      <c r="Z19" s="14" t="n">
        <f aca="false">Assumptions!$C$89*Z9</f>
        <v>309</v>
      </c>
      <c r="AA19" s="14" t="n">
        <f aca="false">Assumptions!$C$89*AA9</f>
        <v>318.27</v>
      </c>
      <c r="AB19" s="14" t="n">
        <f aca="false">Assumptions!$C$89*AB9</f>
        <v>318.27</v>
      </c>
      <c r="AC19" s="14" t="n">
        <f aca="false">Assumptions!$C$89*AC9</f>
        <v>318.27</v>
      </c>
      <c r="AD19" s="14" t="n">
        <f aca="false">Assumptions!$C$89*AD9</f>
        <v>318.27</v>
      </c>
      <c r="AE19" s="14" t="n">
        <f aca="false">Assumptions!$C$89*AE9</f>
        <v>318.27</v>
      </c>
      <c r="AF19" s="14" t="n">
        <f aca="false">Assumptions!$C$89*AF9</f>
        <v>318.27</v>
      </c>
      <c r="AG19" s="14" t="n">
        <f aca="false">Assumptions!$C$89*AG9</f>
        <v>318.27</v>
      </c>
      <c r="AH19" s="14" t="n">
        <f aca="false">Assumptions!$C$89*AH9</f>
        <v>318.27</v>
      </c>
      <c r="AI19" s="14" t="n">
        <f aca="false">Assumptions!$C$89*AI9</f>
        <v>318.27</v>
      </c>
      <c r="AJ19" s="14" t="n">
        <f aca="false">Assumptions!$C$89*AJ9</f>
        <v>318.27</v>
      </c>
      <c r="AK19" s="14" t="n">
        <f aca="false">Assumptions!$C$89*AK9</f>
        <v>318.27</v>
      </c>
      <c r="AL19" s="14" t="n">
        <f aca="false">Assumptions!$C$89*AL9</f>
        <v>318.27</v>
      </c>
      <c r="AM19" s="14" t="n">
        <f aca="false">Assumptions!$C$89*AM9</f>
        <v>327.8181</v>
      </c>
      <c r="AN19" s="14" t="n">
        <f aca="false">Assumptions!$C$89*AN9</f>
        <v>327.8181</v>
      </c>
      <c r="AO19" s="14" t="n">
        <f aca="false">Assumptions!$C$89*AO9</f>
        <v>327.8181</v>
      </c>
      <c r="AP19" s="14" t="n">
        <f aca="false">Assumptions!$C$89*AP9</f>
        <v>327.8181</v>
      </c>
      <c r="AQ19" s="14" t="n">
        <f aca="false">Assumptions!$C$89*AQ9</f>
        <v>327.8181</v>
      </c>
      <c r="AR19" s="14" t="n">
        <f aca="false">Assumptions!$C$89*AR9</f>
        <v>327.8181</v>
      </c>
      <c r="AS19" s="14" t="n">
        <f aca="false">Assumptions!$C$89*AS9</f>
        <v>327.8181</v>
      </c>
      <c r="AT19" s="14" t="n">
        <f aca="false">Assumptions!$C$89*AT9</f>
        <v>327.8181</v>
      </c>
      <c r="AU19" s="14" t="n">
        <f aca="false">Assumptions!$C$89*AU9</f>
        <v>327.8181</v>
      </c>
      <c r="AV19" s="14" t="n">
        <f aca="false">Assumptions!$C$89*AV9</f>
        <v>327.8181</v>
      </c>
      <c r="AW19" s="14" t="n">
        <f aca="false">Assumptions!$C$89*AW9</f>
        <v>327.8181</v>
      </c>
      <c r="AX19" s="14" t="n">
        <f aca="false">Assumptions!$C$89*AX9</f>
        <v>327.8181</v>
      </c>
      <c r="AY19" s="14" t="n">
        <f aca="false">Assumptions!$C$89*AY9</f>
        <v>337.652643</v>
      </c>
      <c r="AZ19" s="14" t="n">
        <f aca="false">Assumptions!$C$89*AZ9</f>
        <v>337.652643</v>
      </c>
      <c r="BA19" s="14" t="n">
        <f aca="false">Assumptions!$C$89*BA9</f>
        <v>337.652643</v>
      </c>
      <c r="BB19" s="14" t="n">
        <f aca="false">Assumptions!$C$89*BB9</f>
        <v>337.652643</v>
      </c>
      <c r="BC19" s="14" t="n">
        <f aca="false">Assumptions!$C$89*BC9</f>
        <v>337.652643</v>
      </c>
      <c r="BD19" s="14" t="n">
        <f aca="false">Assumptions!$C$89*BD9</f>
        <v>337.652643</v>
      </c>
      <c r="BE19" s="14" t="n">
        <f aca="false">Assumptions!$C$89*BE9</f>
        <v>337.652643</v>
      </c>
      <c r="BF19" s="14" t="n">
        <f aca="false">Assumptions!$C$89*BF9</f>
        <v>337.652643</v>
      </c>
      <c r="BG19" s="14" t="n">
        <f aca="false">Assumptions!$C$89*BG9</f>
        <v>337.652643</v>
      </c>
      <c r="BH19" s="14" t="n">
        <f aca="false">Assumptions!$C$89*BH9</f>
        <v>337.652643</v>
      </c>
      <c r="BI19" s="14" t="n">
        <f aca="false">Assumptions!$C$89*BI9</f>
        <v>337.652643</v>
      </c>
      <c r="BJ19" s="14" t="n">
        <f aca="false">Assumptions!$C$89*BJ9</f>
        <v>337.652643</v>
      </c>
      <c r="BK19" s="43" t="n">
        <f aca="false">SUMIF($C$5:$BJ$5,BK$5,$C19:$BJ19)</f>
        <v>3600</v>
      </c>
      <c r="BL19" s="43" t="n">
        <f aca="false">SUMIF($C$5:$BJ$5,BL$5,$C19:$BJ19)</f>
        <v>3708</v>
      </c>
      <c r="BM19" s="43" t="n">
        <f aca="false">SUMIF($C$5:$BJ$5,BM$5,$C19:$BJ19)</f>
        <v>3819.24</v>
      </c>
      <c r="BN19" s="43" t="n">
        <f aca="false">SUMIF($C$5:$BJ$5,BN$5,$C19:$BJ19)</f>
        <v>3933.8172</v>
      </c>
      <c r="BO19" s="43" t="n">
        <f aca="false">SUMIF($C$5:$BJ$5,BO$5,$C19:$BJ19)</f>
        <v>4051.831716</v>
      </c>
    </row>
    <row r="20" customFormat="false" ht="15" hidden="false" customHeight="false" outlineLevel="0" collapsed="false">
      <c r="A20" s="39" t="s">
        <v>260</v>
      </c>
      <c r="B20" s="40"/>
      <c r="C20" s="41" t="n">
        <f aca="false">SUM(C12:C19)</f>
        <v>4700</v>
      </c>
      <c r="D20" s="41" t="n">
        <f aca="false">SUM(D12:D19)</f>
        <v>4700</v>
      </c>
      <c r="E20" s="41" t="n">
        <f aca="false">SUM(E12:E19)</f>
        <v>4700</v>
      </c>
      <c r="F20" s="41" t="n">
        <f aca="false">SUM(F12:F19)</f>
        <v>4700</v>
      </c>
      <c r="G20" s="41" t="n">
        <f aca="false">SUM(G12:G19)</f>
        <v>4700</v>
      </c>
      <c r="H20" s="41" t="n">
        <f aca="false">SUM(H12:H19)</f>
        <v>4700</v>
      </c>
      <c r="I20" s="41" t="n">
        <f aca="false">SUM(I12:I19)</f>
        <v>4700</v>
      </c>
      <c r="J20" s="41" t="n">
        <f aca="false">SUM(J12:J19)</f>
        <v>4700</v>
      </c>
      <c r="K20" s="41" t="n">
        <f aca="false">SUM(K12:K19)</f>
        <v>4700</v>
      </c>
      <c r="L20" s="41" t="n">
        <f aca="false">SUM(L12:L19)</f>
        <v>4700</v>
      </c>
      <c r="M20" s="41" t="n">
        <f aca="false">SUM(M12:M19)</f>
        <v>4700</v>
      </c>
      <c r="N20" s="41" t="n">
        <f aca="false">SUM(N12:N19)</f>
        <v>4700</v>
      </c>
      <c r="O20" s="41" t="n">
        <f aca="false">SUM(O12:O19)</f>
        <v>4841</v>
      </c>
      <c r="P20" s="41" t="n">
        <f aca="false">SUM(P12:P19)</f>
        <v>4841</v>
      </c>
      <c r="Q20" s="41" t="n">
        <f aca="false">SUM(Q12:Q19)</f>
        <v>4841</v>
      </c>
      <c r="R20" s="41" t="n">
        <f aca="false">SUM(R12:R19)</f>
        <v>4841</v>
      </c>
      <c r="S20" s="41" t="n">
        <f aca="false">SUM(S12:S19)</f>
        <v>4841</v>
      </c>
      <c r="T20" s="41" t="n">
        <f aca="false">SUM(T12:T19)</f>
        <v>4841</v>
      </c>
      <c r="U20" s="41" t="n">
        <f aca="false">SUM(U12:U19)</f>
        <v>4841</v>
      </c>
      <c r="V20" s="41" t="n">
        <f aca="false">SUM(V12:V19)</f>
        <v>4841</v>
      </c>
      <c r="W20" s="41" t="n">
        <f aca="false">SUM(W12:W19)</f>
        <v>4841</v>
      </c>
      <c r="X20" s="41" t="n">
        <f aca="false">SUM(X12:X19)</f>
        <v>4841</v>
      </c>
      <c r="Y20" s="41" t="n">
        <f aca="false">SUM(Y12:Y19)</f>
        <v>4841</v>
      </c>
      <c r="Z20" s="41" t="n">
        <f aca="false">SUM(Z12:Z19)</f>
        <v>4841</v>
      </c>
      <c r="AA20" s="41" t="n">
        <f aca="false">SUM(AA12:AA19)</f>
        <v>4986.23</v>
      </c>
      <c r="AB20" s="41" t="n">
        <f aca="false">SUM(AB12:AB19)</f>
        <v>4986.23</v>
      </c>
      <c r="AC20" s="41" t="n">
        <f aca="false">SUM(AC12:AC19)</f>
        <v>4986.23</v>
      </c>
      <c r="AD20" s="41" t="n">
        <f aca="false">SUM(AD12:AD19)</f>
        <v>4986.23</v>
      </c>
      <c r="AE20" s="41" t="n">
        <f aca="false">SUM(AE12:AE19)</f>
        <v>4986.23</v>
      </c>
      <c r="AF20" s="41" t="n">
        <f aca="false">SUM(AF12:AF19)</f>
        <v>4986.23</v>
      </c>
      <c r="AG20" s="41" t="n">
        <f aca="false">SUM(AG12:AG19)</f>
        <v>4986.23</v>
      </c>
      <c r="AH20" s="41" t="n">
        <f aca="false">SUM(AH12:AH19)</f>
        <v>4986.23</v>
      </c>
      <c r="AI20" s="41" t="n">
        <f aca="false">SUM(AI12:AI19)</f>
        <v>4986.23</v>
      </c>
      <c r="AJ20" s="41" t="n">
        <f aca="false">SUM(AJ12:AJ19)</f>
        <v>4986.23</v>
      </c>
      <c r="AK20" s="41" t="n">
        <f aca="false">SUM(AK12:AK19)</f>
        <v>4986.23</v>
      </c>
      <c r="AL20" s="41" t="n">
        <f aca="false">SUM(AL12:AL19)</f>
        <v>4986.23</v>
      </c>
      <c r="AM20" s="41" t="n">
        <f aca="false">SUM(AM12:AM19)</f>
        <v>5135.8169</v>
      </c>
      <c r="AN20" s="41" t="n">
        <f aca="false">SUM(AN12:AN19)</f>
        <v>5135.8169</v>
      </c>
      <c r="AO20" s="41" t="n">
        <f aca="false">SUM(AO12:AO19)</f>
        <v>5135.8169</v>
      </c>
      <c r="AP20" s="41" t="n">
        <f aca="false">SUM(AP12:AP19)</f>
        <v>5135.8169</v>
      </c>
      <c r="AQ20" s="41" t="n">
        <f aca="false">SUM(AQ12:AQ19)</f>
        <v>5135.8169</v>
      </c>
      <c r="AR20" s="41" t="n">
        <f aca="false">SUM(AR12:AR19)</f>
        <v>5135.8169</v>
      </c>
      <c r="AS20" s="41" t="n">
        <f aca="false">SUM(AS12:AS19)</f>
        <v>5135.8169</v>
      </c>
      <c r="AT20" s="41" t="n">
        <f aca="false">SUM(AT12:AT19)</f>
        <v>5135.8169</v>
      </c>
      <c r="AU20" s="41" t="n">
        <f aca="false">SUM(AU12:AU19)</f>
        <v>5135.8169</v>
      </c>
      <c r="AV20" s="41" t="n">
        <f aca="false">SUM(AV12:AV19)</f>
        <v>5135.8169</v>
      </c>
      <c r="AW20" s="41" t="n">
        <f aca="false">SUM(AW12:AW19)</f>
        <v>5135.8169</v>
      </c>
      <c r="AX20" s="41" t="n">
        <f aca="false">SUM(AX12:AX19)</f>
        <v>5135.8169</v>
      </c>
      <c r="AY20" s="41" t="n">
        <f aca="false">SUM(AY12:AY19)</f>
        <v>5289.891407</v>
      </c>
      <c r="AZ20" s="41" t="n">
        <f aca="false">SUM(AZ12:AZ19)</f>
        <v>5289.891407</v>
      </c>
      <c r="BA20" s="41" t="n">
        <f aca="false">SUM(BA12:BA19)</f>
        <v>5289.891407</v>
      </c>
      <c r="BB20" s="41" t="n">
        <f aca="false">SUM(BB12:BB19)</f>
        <v>5289.891407</v>
      </c>
      <c r="BC20" s="41" t="n">
        <f aca="false">SUM(BC12:BC19)</f>
        <v>5289.891407</v>
      </c>
      <c r="BD20" s="41" t="n">
        <f aca="false">SUM(BD12:BD19)</f>
        <v>5289.891407</v>
      </c>
      <c r="BE20" s="41" t="n">
        <f aca="false">SUM(BE12:BE19)</f>
        <v>5289.891407</v>
      </c>
      <c r="BF20" s="41" t="n">
        <f aca="false">SUM(BF12:BF19)</f>
        <v>5289.891407</v>
      </c>
      <c r="BG20" s="41" t="n">
        <f aca="false">SUM(BG12:BG19)</f>
        <v>5289.891407</v>
      </c>
      <c r="BH20" s="41" t="n">
        <f aca="false">SUM(BH12:BH19)</f>
        <v>5289.891407</v>
      </c>
      <c r="BI20" s="41" t="n">
        <f aca="false">SUM(BI12:BI19)</f>
        <v>5289.891407</v>
      </c>
      <c r="BJ20" s="41" t="n">
        <f aca="false">SUM(BJ12:BJ19)</f>
        <v>5289.891407</v>
      </c>
      <c r="BK20" s="42" t="n">
        <f aca="false">SUMIF($C$5:$BJ$5,BK$5,$C20:$BJ20)</f>
        <v>56400</v>
      </c>
      <c r="BL20" s="42" t="n">
        <f aca="false">SUMIF($C$5:$BJ$5,BL$5,$C20:$BJ20)</f>
        <v>58092</v>
      </c>
      <c r="BM20" s="42" t="n">
        <f aca="false">SUMIF($C$5:$BJ$5,BM$5,$C20:$BJ20)</f>
        <v>59834.76</v>
      </c>
      <c r="BN20" s="42" t="n">
        <f aca="false">SUMIF($C$5:$BJ$5,BN$5,$C20:$BJ20)</f>
        <v>61629.8028</v>
      </c>
      <c r="BO20" s="42" t="n">
        <f aca="false">SUMIF($C$5:$BJ$5,BO$5,$C20:$BJ20)</f>
        <v>63478.696884</v>
      </c>
    </row>
    <row r="22" customFormat="false" ht="15" hidden="false" customHeight="false" outlineLevel="0" collapsed="false">
      <c r="A22" s="33" t="s">
        <v>261</v>
      </c>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row>
    <row r="23" customFormat="false" ht="15" hidden="false" customHeight="false" outlineLevel="0" collapsed="false">
      <c r="A23" s="18" t="s">
        <v>262</v>
      </c>
      <c r="B23" s="2"/>
      <c r="C23" s="14" t="n">
        <f aca="false">C7*Assumptions!$C$92</f>
        <v>526.5</v>
      </c>
      <c r="D23" s="14" t="n">
        <f aca="false">D7*Assumptions!$C$92</f>
        <v>631.8</v>
      </c>
      <c r="E23" s="14" t="n">
        <f aca="false">E7*Assumptions!$C$92</f>
        <v>819</v>
      </c>
      <c r="F23" s="14" t="n">
        <f aca="false">F7*Assumptions!$C$92</f>
        <v>982.8</v>
      </c>
      <c r="G23" s="14" t="n">
        <f aca="false">G7*Assumptions!$C$92</f>
        <v>1158.3</v>
      </c>
      <c r="H23" s="14" t="n">
        <f aca="false">H7*Assumptions!$C$92</f>
        <v>1287</v>
      </c>
      <c r="I23" s="14" t="n">
        <f aca="false">I7*Assumptions!$C$92</f>
        <v>1228.5</v>
      </c>
      <c r="J23" s="14" t="n">
        <f aca="false">J7*Assumptions!$C$92</f>
        <v>1170</v>
      </c>
      <c r="K23" s="14" t="n">
        <f aca="false">K7*Assumptions!$C$92</f>
        <v>1170</v>
      </c>
      <c r="L23" s="14" t="n">
        <f aca="false">L7*Assumptions!$C$92</f>
        <v>1170</v>
      </c>
      <c r="M23" s="14" t="n">
        <f aca="false">M7*Assumptions!$C$92</f>
        <v>1111.5</v>
      </c>
      <c r="N23" s="14" t="n">
        <f aca="false">N7*Assumptions!$C$92</f>
        <v>1111.5</v>
      </c>
      <c r="O23" s="14" t="n">
        <f aca="false">O7*Assumptions!$C$92</f>
        <v>1150.443</v>
      </c>
      <c r="P23" s="14" t="n">
        <f aca="false">P7*Assumptions!$C$92</f>
        <v>1150.443</v>
      </c>
      <c r="Q23" s="14" t="n">
        <f aca="false">Q7*Assumptions!$C$92</f>
        <v>1278.27</v>
      </c>
      <c r="R23" s="14" t="n">
        <f aca="false">R7*Assumptions!$C$92</f>
        <v>1342.1835</v>
      </c>
      <c r="S23" s="14" t="n">
        <f aca="false">S7*Assumptions!$C$92</f>
        <v>1406.097</v>
      </c>
      <c r="T23" s="14" t="n">
        <f aca="false">T7*Assumptions!$C$92</f>
        <v>1406.097</v>
      </c>
      <c r="U23" s="14" t="n">
        <f aca="false">U7*Assumptions!$C$92</f>
        <v>1342.1835</v>
      </c>
      <c r="V23" s="14" t="n">
        <f aca="false">V7*Assumptions!$C$92</f>
        <v>1278.27</v>
      </c>
      <c r="W23" s="14" t="n">
        <f aca="false">W7*Assumptions!$C$92</f>
        <v>1278.27</v>
      </c>
      <c r="X23" s="14" t="n">
        <f aca="false">X7*Assumptions!$C$92</f>
        <v>1278.27</v>
      </c>
      <c r="Y23" s="14" t="n">
        <f aca="false">Y7*Assumptions!$C$92</f>
        <v>1214.3565</v>
      </c>
      <c r="Z23" s="14" t="n">
        <f aca="false">Z7*Assumptions!$C$92</f>
        <v>1214.3565</v>
      </c>
      <c r="AA23" s="14" t="n">
        <f aca="false">AA7*Assumptions!$C$92</f>
        <v>1257.3002898</v>
      </c>
      <c r="AB23" s="14" t="n">
        <f aca="false">AB7*Assumptions!$C$92</f>
        <v>1257.3002898</v>
      </c>
      <c r="AC23" s="14" t="n">
        <f aca="false">AC7*Assumptions!$C$92</f>
        <v>1397.000322</v>
      </c>
      <c r="AD23" s="14" t="n">
        <f aca="false">AD7*Assumptions!$C$92</f>
        <v>1466.8503381</v>
      </c>
      <c r="AE23" s="14" t="n">
        <f aca="false">AE7*Assumptions!$C$92</f>
        <v>1536.7003542</v>
      </c>
      <c r="AF23" s="14" t="n">
        <f aca="false">AF7*Assumptions!$C$92</f>
        <v>1536.7003542</v>
      </c>
      <c r="AG23" s="14" t="n">
        <f aca="false">AG7*Assumptions!$C$92</f>
        <v>1466.8503381</v>
      </c>
      <c r="AH23" s="14" t="n">
        <f aca="false">AH7*Assumptions!$C$92</f>
        <v>1397.000322</v>
      </c>
      <c r="AI23" s="14" t="n">
        <f aca="false">AI7*Assumptions!$C$92</f>
        <v>1397.000322</v>
      </c>
      <c r="AJ23" s="14" t="n">
        <f aca="false">AJ7*Assumptions!$C$92</f>
        <v>1397.000322</v>
      </c>
      <c r="AK23" s="14" t="n">
        <f aca="false">AK7*Assumptions!$C$92</f>
        <v>1327.1503059</v>
      </c>
      <c r="AL23" s="14" t="n">
        <f aca="false">AL7*Assumptions!$C$92</f>
        <v>1327.1503059</v>
      </c>
      <c r="AM23" s="14" t="n">
        <f aca="false">AM7*Assumptions!$C$92</f>
        <v>1374.52443889644</v>
      </c>
      <c r="AN23" s="14" t="n">
        <f aca="false">AN7*Assumptions!$C$92</f>
        <v>1374.52443889644</v>
      </c>
      <c r="AO23" s="14" t="n">
        <f aca="false">AO7*Assumptions!$C$92</f>
        <v>1527.2493765516</v>
      </c>
      <c r="AP23" s="14" t="n">
        <f aca="false">AP7*Assumptions!$C$92</f>
        <v>1603.61184537918</v>
      </c>
      <c r="AQ23" s="14" t="n">
        <f aca="false">AQ7*Assumptions!$C$92</f>
        <v>1679.97431420676</v>
      </c>
      <c r="AR23" s="14" t="n">
        <f aca="false">AR7*Assumptions!$C$92</f>
        <v>1679.97431420676</v>
      </c>
      <c r="AS23" s="14" t="n">
        <f aca="false">AS7*Assumptions!$C$92</f>
        <v>1603.61184537918</v>
      </c>
      <c r="AT23" s="14" t="n">
        <f aca="false">AT7*Assumptions!$C$92</f>
        <v>1527.2493765516</v>
      </c>
      <c r="AU23" s="14" t="n">
        <f aca="false">AU7*Assumptions!$C$92</f>
        <v>1527.2493765516</v>
      </c>
      <c r="AV23" s="14" t="n">
        <f aca="false">AV7*Assumptions!$C$92</f>
        <v>1527.2493765516</v>
      </c>
      <c r="AW23" s="14" t="n">
        <f aca="false">AW7*Assumptions!$C$92</f>
        <v>1450.88690772402</v>
      </c>
      <c r="AX23" s="14" t="n">
        <f aca="false">AX7*Assumptions!$C$92</f>
        <v>1450.88690772402</v>
      </c>
      <c r="AY23" s="14" t="n">
        <f aca="false">AY7*Assumptions!$C$92</f>
        <v>1503.16905457634</v>
      </c>
      <c r="AZ23" s="14" t="n">
        <f aca="false">AZ7*Assumptions!$C$92</f>
        <v>1503.16905457634</v>
      </c>
      <c r="BA23" s="14" t="n">
        <f aca="false">BA7*Assumptions!$C$92</f>
        <v>1670.18783841816</v>
      </c>
      <c r="BB23" s="14" t="n">
        <f aca="false">BB7*Assumptions!$C$92</f>
        <v>1753.69723033907</v>
      </c>
      <c r="BC23" s="14" t="n">
        <f aca="false">BC7*Assumptions!$C$92</f>
        <v>1837.20662225997</v>
      </c>
      <c r="BD23" s="14" t="n">
        <f aca="false">BD7*Assumptions!$C$92</f>
        <v>1837.20662225997</v>
      </c>
      <c r="BE23" s="14" t="n">
        <f aca="false">BE7*Assumptions!$C$92</f>
        <v>1753.69723033907</v>
      </c>
      <c r="BF23" s="14" t="n">
        <f aca="false">BF7*Assumptions!$C$92</f>
        <v>1670.18783841816</v>
      </c>
      <c r="BG23" s="14" t="n">
        <f aca="false">BG7*Assumptions!$C$92</f>
        <v>1670.18783841816</v>
      </c>
      <c r="BH23" s="14" t="n">
        <f aca="false">BH7*Assumptions!$C$92</f>
        <v>1670.18783841816</v>
      </c>
      <c r="BI23" s="14" t="n">
        <f aca="false">BI7*Assumptions!$C$92</f>
        <v>1586.67844649725</v>
      </c>
      <c r="BJ23" s="14" t="n">
        <f aca="false">BJ7*Assumptions!$C$92</f>
        <v>1586.67844649725</v>
      </c>
      <c r="BK23" s="43" t="n">
        <f aca="false">SUMIF($C$5:$BJ$5,BK$5,$C23:$BJ23)</f>
        <v>12366.9</v>
      </c>
      <c r="BL23" s="43" t="n">
        <f aca="false">SUMIF($C$5:$BJ$5,BL$5,$C23:$BJ23)</f>
        <v>15339.24</v>
      </c>
      <c r="BM23" s="43" t="n">
        <f aca="false">SUMIF($C$5:$BJ$5,BM$5,$C23:$BJ23)</f>
        <v>16764.003864</v>
      </c>
      <c r="BN23" s="43" t="n">
        <f aca="false">SUMIF($C$5:$BJ$5,BN$5,$C23:$BJ23)</f>
        <v>18326.9925186192</v>
      </c>
      <c r="BO23" s="43" t="n">
        <f aca="false">SUMIF($C$5:$BJ$5,BO$5,$C23:$BJ23)</f>
        <v>20042.2540610179</v>
      </c>
    </row>
    <row r="24" customFormat="false" ht="15" hidden="false" customHeight="false" outlineLevel="0" collapsed="false">
      <c r="A24" s="18" t="s">
        <v>263</v>
      </c>
      <c r="B24" s="2"/>
      <c r="C24" s="14" t="n">
        <f aca="false">C7*Assumptions!$C$93</f>
        <v>351</v>
      </c>
      <c r="D24" s="14" t="n">
        <f aca="false">D7*Assumptions!$C$93</f>
        <v>421.2</v>
      </c>
      <c r="E24" s="14" t="n">
        <f aca="false">E7*Assumptions!$C$93</f>
        <v>546</v>
      </c>
      <c r="F24" s="14" t="n">
        <f aca="false">F7*Assumptions!$C$93</f>
        <v>655.2</v>
      </c>
      <c r="G24" s="14" t="n">
        <f aca="false">G7*Assumptions!$C$93</f>
        <v>772.2</v>
      </c>
      <c r="H24" s="14" t="n">
        <f aca="false">H7*Assumptions!$C$93</f>
        <v>858</v>
      </c>
      <c r="I24" s="14" t="n">
        <f aca="false">I7*Assumptions!$C$93</f>
        <v>819</v>
      </c>
      <c r="J24" s="14" t="n">
        <f aca="false">J7*Assumptions!$C$93</f>
        <v>780</v>
      </c>
      <c r="K24" s="14" t="n">
        <f aca="false">K7*Assumptions!$C$93</f>
        <v>780</v>
      </c>
      <c r="L24" s="14" t="n">
        <f aca="false">L7*Assumptions!$C$93</f>
        <v>780</v>
      </c>
      <c r="M24" s="14" t="n">
        <f aca="false">M7*Assumptions!$C$93</f>
        <v>741</v>
      </c>
      <c r="N24" s="14" t="n">
        <f aca="false">N7*Assumptions!$C$93</f>
        <v>741</v>
      </c>
      <c r="O24" s="14" t="n">
        <f aca="false">O7*Assumptions!$C$93</f>
        <v>766.962</v>
      </c>
      <c r="P24" s="14" t="n">
        <f aca="false">P7*Assumptions!$C$93</f>
        <v>766.962</v>
      </c>
      <c r="Q24" s="14" t="n">
        <f aca="false">Q7*Assumptions!$C$93</f>
        <v>852.18</v>
      </c>
      <c r="R24" s="14" t="n">
        <f aca="false">R7*Assumptions!$C$93</f>
        <v>894.789</v>
      </c>
      <c r="S24" s="14" t="n">
        <f aca="false">S7*Assumptions!$C$93</f>
        <v>937.398</v>
      </c>
      <c r="T24" s="14" t="n">
        <f aca="false">T7*Assumptions!$C$93</f>
        <v>937.398</v>
      </c>
      <c r="U24" s="14" t="n">
        <f aca="false">U7*Assumptions!$C$93</f>
        <v>894.789</v>
      </c>
      <c r="V24" s="14" t="n">
        <f aca="false">V7*Assumptions!$C$93</f>
        <v>852.18</v>
      </c>
      <c r="W24" s="14" t="n">
        <f aca="false">W7*Assumptions!$C$93</f>
        <v>852.18</v>
      </c>
      <c r="X24" s="14" t="n">
        <f aca="false">X7*Assumptions!$C$93</f>
        <v>852.18</v>
      </c>
      <c r="Y24" s="14" t="n">
        <f aca="false">Y7*Assumptions!$C$93</f>
        <v>809.571</v>
      </c>
      <c r="Z24" s="14" t="n">
        <f aca="false">Z7*Assumptions!$C$93</f>
        <v>809.571</v>
      </c>
      <c r="AA24" s="14" t="n">
        <f aca="false">AA7*Assumptions!$C$93</f>
        <v>838.2001932</v>
      </c>
      <c r="AB24" s="14" t="n">
        <f aca="false">AB7*Assumptions!$C$93</f>
        <v>838.2001932</v>
      </c>
      <c r="AC24" s="14" t="n">
        <f aca="false">AC7*Assumptions!$C$93</f>
        <v>931.333548</v>
      </c>
      <c r="AD24" s="14" t="n">
        <f aca="false">AD7*Assumptions!$C$93</f>
        <v>977.9002254</v>
      </c>
      <c r="AE24" s="14" t="n">
        <f aca="false">AE7*Assumptions!$C$93</f>
        <v>1024.4669028</v>
      </c>
      <c r="AF24" s="14" t="n">
        <f aca="false">AF7*Assumptions!$C$93</f>
        <v>1024.4669028</v>
      </c>
      <c r="AG24" s="14" t="n">
        <f aca="false">AG7*Assumptions!$C$93</f>
        <v>977.9002254</v>
      </c>
      <c r="AH24" s="14" t="n">
        <f aca="false">AH7*Assumptions!$C$93</f>
        <v>931.333548</v>
      </c>
      <c r="AI24" s="14" t="n">
        <f aca="false">AI7*Assumptions!$C$93</f>
        <v>931.333548</v>
      </c>
      <c r="AJ24" s="14" t="n">
        <f aca="false">AJ7*Assumptions!$C$93</f>
        <v>931.333548</v>
      </c>
      <c r="AK24" s="14" t="n">
        <f aca="false">AK7*Assumptions!$C$93</f>
        <v>884.7668706</v>
      </c>
      <c r="AL24" s="14" t="n">
        <f aca="false">AL7*Assumptions!$C$93</f>
        <v>884.7668706</v>
      </c>
      <c r="AM24" s="14" t="n">
        <f aca="false">AM7*Assumptions!$C$93</f>
        <v>916.34962593096</v>
      </c>
      <c r="AN24" s="14" t="n">
        <f aca="false">AN7*Assumptions!$C$93</f>
        <v>916.34962593096</v>
      </c>
      <c r="AO24" s="14" t="n">
        <f aca="false">AO7*Assumptions!$C$93</f>
        <v>1018.1662510344</v>
      </c>
      <c r="AP24" s="14" t="n">
        <f aca="false">AP7*Assumptions!$C$93</f>
        <v>1069.07456358612</v>
      </c>
      <c r="AQ24" s="14" t="n">
        <f aca="false">AQ7*Assumptions!$C$93</f>
        <v>1119.98287613784</v>
      </c>
      <c r="AR24" s="14" t="n">
        <f aca="false">AR7*Assumptions!$C$93</f>
        <v>1119.98287613784</v>
      </c>
      <c r="AS24" s="14" t="n">
        <f aca="false">AS7*Assumptions!$C$93</f>
        <v>1069.07456358612</v>
      </c>
      <c r="AT24" s="14" t="n">
        <f aca="false">AT7*Assumptions!$C$93</f>
        <v>1018.1662510344</v>
      </c>
      <c r="AU24" s="14" t="n">
        <f aca="false">AU7*Assumptions!$C$93</f>
        <v>1018.1662510344</v>
      </c>
      <c r="AV24" s="14" t="n">
        <f aca="false">AV7*Assumptions!$C$93</f>
        <v>1018.1662510344</v>
      </c>
      <c r="AW24" s="14" t="n">
        <f aca="false">AW7*Assumptions!$C$93</f>
        <v>967.25793848268</v>
      </c>
      <c r="AX24" s="14" t="n">
        <f aca="false">AX7*Assumptions!$C$93</f>
        <v>967.25793848268</v>
      </c>
      <c r="AY24" s="14" t="n">
        <f aca="false">AY7*Assumptions!$C$93</f>
        <v>1002.11270305089</v>
      </c>
      <c r="AZ24" s="14" t="n">
        <f aca="false">AZ7*Assumptions!$C$93</f>
        <v>1002.11270305089</v>
      </c>
      <c r="BA24" s="14" t="n">
        <f aca="false">BA7*Assumptions!$C$93</f>
        <v>1113.45855894544</v>
      </c>
      <c r="BB24" s="14" t="n">
        <f aca="false">BB7*Assumptions!$C$93</f>
        <v>1169.13148689271</v>
      </c>
      <c r="BC24" s="14" t="n">
        <f aca="false">BC7*Assumptions!$C$93</f>
        <v>1224.80441483998</v>
      </c>
      <c r="BD24" s="14" t="n">
        <f aca="false">BD7*Assumptions!$C$93</f>
        <v>1224.80441483998</v>
      </c>
      <c r="BE24" s="14" t="n">
        <f aca="false">BE7*Assumptions!$C$93</f>
        <v>1169.13148689271</v>
      </c>
      <c r="BF24" s="14" t="n">
        <f aca="false">BF7*Assumptions!$C$93</f>
        <v>1113.45855894544</v>
      </c>
      <c r="BG24" s="14" t="n">
        <f aca="false">BG7*Assumptions!$C$93</f>
        <v>1113.45855894544</v>
      </c>
      <c r="BH24" s="14" t="n">
        <f aca="false">BH7*Assumptions!$C$93</f>
        <v>1113.45855894544</v>
      </c>
      <c r="BI24" s="14" t="n">
        <f aca="false">BI7*Assumptions!$C$93</f>
        <v>1057.78563099817</v>
      </c>
      <c r="BJ24" s="14" t="n">
        <f aca="false">BJ7*Assumptions!$C$93</f>
        <v>1057.78563099817</v>
      </c>
      <c r="BK24" s="43" t="n">
        <f aca="false">SUMIF($C$5:$BJ$5,BK$5,$C24:$BJ24)</f>
        <v>8244.6</v>
      </c>
      <c r="BL24" s="43" t="n">
        <f aca="false">SUMIF($C$5:$BJ$5,BL$5,$C24:$BJ24)</f>
        <v>10226.16</v>
      </c>
      <c r="BM24" s="43" t="n">
        <f aca="false">SUMIF($C$5:$BJ$5,BM$5,$C24:$BJ24)</f>
        <v>11176.002576</v>
      </c>
      <c r="BN24" s="43" t="n">
        <f aca="false">SUMIF($C$5:$BJ$5,BN$5,$C24:$BJ24)</f>
        <v>12217.9950124128</v>
      </c>
      <c r="BO24" s="43" t="n">
        <f aca="false">SUMIF($C$5:$BJ$5,BO$5,$C24:$BJ24)</f>
        <v>13361.5027073453</v>
      </c>
    </row>
    <row r="25" customFormat="false" ht="15" hidden="false" customHeight="false" outlineLevel="0" collapsed="false">
      <c r="A25" s="18" t="s">
        <v>264</v>
      </c>
      <c r="B25" s="2"/>
      <c r="C25" s="14" t="n">
        <f aca="false">C7*Assumptions!$C$94</f>
        <v>175.5</v>
      </c>
      <c r="D25" s="14" t="n">
        <f aca="false">D7*Assumptions!$C$94</f>
        <v>210.6</v>
      </c>
      <c r="E25" s="14" t="n">
        <f aca="false">E7*Assumptions!$C$94</f>
        <v>273</v>
      </c>
      <c r="F25" s="14" t="n">
        <f aca="false">F7*Assumptions!$C$94</f>
        <v>327.6</v>
      </c>
      <c r="G25" s="14" t="n">
        <f aca="false">G7*Assumptions!$C$94</f>
        <v>386.1</v>
      </c>
      <c r="H25" s="14" t="n">
        <f aca="false">H7*Assumptions!$C$94</f>
        <v>429</v>
      </c>
      <c r="I25" s="14" t="n">
        <f aca="false">I7*Assumptions!$C$94</f>
        <v>409.5</v>
      </c>
      <c r="J25" s="14" t="n">
        <f aca="false">J7*Assumptions!$C$94</f>
        <v>390</v>
      </c>
      <c r="K25" s="14" t="n">
        <f aca="false">K7*Assumptions!$C$94</f>
        <v>390</v>
      </c>
      <c r="L25" s="14" t="n">
        <f aca="false">L7*Assumptions!$C$94</f>
        <v>390</v>
      </c>
      <c r="M25" s="14" t="n">
        <f aca="false">M7*Assumptions!$C$94</f>
        <v>370.5</v>
      </c>
      <c r="N25" s="14" t="n">
        <f aca="false">N7*Assumptions!$C$94</f>
        <v>370.5</v>
      </c>
      <c r="O25" s="14" t="n">
        <f aca="false">O7*Assumptions!$C$94</f>
        <v>383.481</v>
      </c>
      <c r="P25" s="14" t="n">
        <f aca="false">P7*Assumptions!$C$94</f>
        <v>383.481</v>
      </c>
      <c r="Q25" s="14" t="n">
        <f aca="false">Q7*Assumptions!$C$94</f>
        <v>426.09</v>
      </c>
      <c r="R25" s="14" t="n">
        <f aca="false">R7*Assumptions!$C$94</f>
        <v>447.3945</v>
      </c>
      <c r="S25" s="14" t="n">
        <f aca="false">S7*Assumptions!$C$94</f>
        <v>468.699</v>
      </c>
      <c r="T25" s="14" t="n">
        <f aca="false">T7*Assumptions!$C$94</f>
        <v>468.699</v>
      </c>
      <c r="U25" s="14" t="n">
        <f aca="false">U7*Assumptions!$C$94</f>
        <v>447.3945</v>
      </c>
      <c r="V25" s="14" t="n">
        <f aca="false">V7*Assumptions!$C$94</f>
        <v>426.09</v>
      </c>
      <c r="W25" s="14" t="n">
        <f aca="false">W7*Assumptions!$C$94</f>
        <v>426.09</v>
      </c>
      <c r="X25" s="14" t="n">
        <f aca="false">X7*Assumptions!$C$94</f>
        <v>426.09</v>
      </c>
      <c r="Y25" s="14" t="n">
        <f aca="false">Y7*Assumptions!$C$94</f>
        <v>404.7855</v>
      </c>
      <c r="Z25" s="14" t="n">
        <f aca="false">Z7*Assumptions!$C$94</f>
        <v>404.7855</v>
      </c>
      <c r="AA25" s="14" t="n">
        <f aca="false">AA7*Assumptions!$C$94</f>
        <v>419.1000966</v>
      </c>
      <c r="AB25" s="14" t="n">
        <f aca="false">AB7*Assumptions!$C$94</f>
        <v>419.1000966</v>
      </c>
      <c r="AC25" s="14" t="n">
        <f aca="false">AC7*Assumptions!$C$94</f>
        <v>465.666774</v>
      </c>
      <c r="AD25" s="14" t="n">
        <f aca="false">AD7*Assumptions!$C$94</f>
        <v>488.9501127</v>
      </c>
      <c r="AE25" s="14" t="n">
        <f aca="false">AE7*Assumptions!$C$94</f>
        <v>512.2334514</v>
      </c>
      <c r="AF25" s="14" t="n">
        <f aca="false">AF7*Assumptions!$C$94</f>
        <v>512.2334514</v>
      </c>
      <c r="AG25" s="14" t="n">
        <f aca="false">AG7*Assumptions!$C$94</f>
        <v>488.9501127</v>
      </c>
      <c r="AH25" s="14" t="n">
        <f aca="false">AH7*Assumptions!$C$94</f>
        <v>465.666774</v>
      </c>
      <c r="AI25" s="14" t="n">
        <f aca="false">AI7*Assumptions!$C$94</f>
        <v>465.666774</v>
      </c>
      <c r="AJ25" s="14" t="n">
        <f aca="false">AJ7*Assumptions!$C$94</f>
        <v>465.666774</v>
      </c>
      <c r="AK25" s="14" t="n">
        <f aca="false">AK7*Assumptions!$C$94</f>
        <v>442.3834353</v>
      </c>
      <c r="AL25" s="14" t="n">
        <f aca="false">AL7*Assumptions!$C$94</f>
        <v>442.3834353</v>
      </c>
      <c r="AM25" s="14" t="n">
        <f aca="false">AM7*Assumptions!$C$94</f>
        <v>458.17481296548</v>
      </c>
      <c r="AN25" s="14" t="n">
        <f aca="false">AN7*Assumptions!$C$94</f>
        <v>458.17481296548</v>
      </c>
      <c r="AO25" s="14" t="n">
        <f aca="false">AO7*Assumptions!$C$94</f>
        <v>509.0831255172</v>
      </c>
      <c r="AP25" s="14" t="n">
        <f aca="false">AP7*Assumptions!$C$94</f>
        <v>534.53728179306</v>
      </c>
      <c r="AQ25" s="14" t="n">
        <f aca="false">AQ7*Assumptions!$C$94</f>
        <v>559.99143806892</v>
      </c>
      <c r="AR25" s="14" t="n">
        <f aca="false">AR7*Assumptions!$C$94</f>
        <v>559.99143806892</v>
      </c>
      <c r="AS25" s="14" t="n">
        <f aca="false">AS7*Assumptions!$C$94</f>
        <v>534.53728179306</v>
      </c>
      <c r="AT25" s="14" t="n">
        <f aca="false">AT7*Assumptions!$C$94</f>
        <v>509.0831255172</v>
      </c>
      <c r="AU25" s="14" t="n">
        <f aca="false">AU7*Assumptions!$C$94</f>
        <v>509.0831255172</v>
      </c>
      <c r="AV25" s="14" t="n">
        <f aca="false">AV7*Assumptions!$C$94</f>
        <v>509.0831255172</v>
      </c>
      <c r="AW25" s="14" t="n">
        <f aca="false">AW7*Assumptions!$C$94</f>
        <v>483.62896924134</v>
      </c>
      <c r="AX25" s="14" t="n">
        <f aca="false">AX7*Assumptions!$C$94</f>
        <v>483.62896924134</v>
      </c>
      <c r="AY25" s="14" t="n">
        <f aca="false">AY7*Assumptions!$C$94</f>
        <v>501.056351525447</v>
      </c>
      <c r="AZ25" s="14" t="n">
        <f aca="false">AZ7*Assumptions!$C$94</f>
        <v>501.056351525447</v>
      </c>
      <c r="BA25" s="14" t="n">
        <f aca="false">BA7*Assumptions!$C$94</f>
        <v>556.729279472719</v>
      </c>
      <c r="BB25" s="14" t="n">
        <f aca="false">BB7*Assumptions!$C$94</f>
        <v>584.565743446355</v>
      </c>
      <c r="BC25" s="14" t="n">
        <f aca="false">BC7*Assumptions!$C$94</f>
        <v>612.402207419991</v>
      </c>
      <c r="BD25" s="14" t="n">
        <f aca="false">BD7*Assumptions!$C$94</f>
        <v>612.402207419991</v>
      </c>
      <c r="BE25" s="14" t="n">
        <f aca="false">BE7*Assumptions!$C$94</f>
        <v>584.565743446355</v>
      </c>
      <c r="BF25" s="14" t="n">
        <f aca="false">BF7*Assumptions!$C$94</f>
        <v>556.729279472719</v>
      </c>
      <c r="BG25" s="14" t="n">
        <f aca="false">BG7*Assumptions!$C$94</f>
        <v>556.729279472719</v>
      </c>
      <c r="BH25" s="14" t="n">
        <f aca="false">BH7*Assumptions!$C$94</f>
        <v>556.729279472719</v>
      </c>
      <c r="BI25" s="14" t="n">
        <f aca="false">BI7*Assumptions!$C$94</f>
        <v>528.892815499083</v>
      </c>
      <c r="BJ25" s="14" t="n">
        <f aca="false">BJ7*Assumptions!$C$94</f>
        <v>528.892815499083</v>
      </c>
      <c r="BK25" s="43" t="n">
        <f aca="false">SUMIF($C$5:$BJ$5,BK$5,$C25:$BJ25)</f>
        <v>4122.3</v>
      </c>
      <c r="BL25" s="43" t="n">
        <f aca="false">SUMIF($C$5:$BJ$5,BL$5,$C25:$BJ25)</f>
        <v>5113.08</v>
      </c>
      <c r="BM25" s="43" t="n">
        <f aca="false">SUMIF($C$5:$BJ$5,BM$5,$C25:$BJ25)</f>
        <v>5588.001288</v>
      </c>
      <c r="BN25" s="43" t="n">
        <f aca="false">SUMIF($C$5:$BJ$5,BN$5,$C25:$BJ25)</f>
        <v>6108.9975062064</v>
      </c>
      <c r="BO25" s="43" t="n">
        <f aca="false">SUMIF($C$5:$BJ$5,BO$5,$C25:$BJ25)</f>
        <v>6680.75135367263</v>
      </c>
    </row>
    <row r="26" customFormat="false" ht="15" hidden="false" customHeight="false" outlineLevel="0" collapsed="false">
      <c r="A26" s="39" t="s">
        <v>265</v>
      </c>
      <c r="B26" s="40"/>
      <c r="C26" s="41" t="n">
        <f aca="false">C23+C24+C25</f>
        <v>1053</v>
      </c>
      <c r="D26" s="41" t="n">
        <f aca="false">D23+D24+D25</f>
        <v>1263.6</v>
      </c>
      <c r="E26" s="41" t="n">
        <f aca="false">E23+E24+E25</f>
        <v>1638</v>
      </c>
      <c r="F26" s="41" t="n">
        <f aca="false">F23+F24+F25</f>
        <v>1965.6</v>
      </c>
      <c r="G26" s="41" t="n">
        <f aca="false">G23+G24+G25</f>
        <v>2316.6</v>
      </c>
      <c r="H26" s="41" t="n">
        <f aca="false">H23+H24+H25</f>
        <v>2574</v>
      </c>
      <c r="I26" s="41" t="n">
        <f aca="false">I23+I24+I25</f>
        <v>2457</v>
      </c>
      <c r="J26" s="41" t="n">
        <f aca="false">J23+J24+J25</f>
        <v>2340</v>
      </c>
      <c r="K26" s="41" t="n">
        <f aca="false">K23+K24+K25</f>
        <v>2340</v>
      </c>
      <c r="L26" s="41" t="n">
        <f aca="false">L23+L24+L25</f>
        <v>2340</v>
      </c>
      <c r="M26" s="41" t="n">
        <f aca="false">M23+M24+M25</f>
        <v>2223</v>
      </c>
      <c r="N26" s="41" t="n">
        <f aca="false">N23+N24+N25</f>
        <v>2223</v>
      </c>
      <c r="O26" s="41" t="n">
        <f aca="false">O23+O24+O25</f>
        <v>2300.886</v>
      </c>
      <c r="P26" s="41" t="n">
        <f aca="false">P23+P24+P25</f>
        <v>2300.886</v>
      </c>
      <c r="Q26" s="41" t="n">
        <f aca="false">Q23+Q24+Q25</f>
        <v>2556.54</v>
      </c>
      <c r="R26" s="41" t="n">
        <f aca="false">R23+R24+R25</f>
        <v>2684.367</v>
      </c>
      <c r="S26" s="41" t="n">
        <f aca="false">S23+S24+S25</f>
        <v>2812.194</v>
      </c>
      <c r="T26" s="41" t="n">
        <f aca="false">T23+T24+T25</f>
        <v>2812.194</v>
      </c>
      <c r="U26" s="41" t="n">
        <f aca="false">U23+U24+U25</f>
        <v>2684.367</v>
      </c>
      <c r="V26" s="41" t="n">
        <f aca="false">V23+V24+V25</f>
        <v>2556.54</v>
      </c>
      <c r="W26" s="41" t="n">
        <f aca="false">W23+W24+W25</f>
        <v>2556.54</v>
      </c>
      <c r="X26" s="41" t="n">
        <f aca="false">X23+X24+X25</f>
        <v>2556.54</v>
      </c>
      <c r="Y26" s="41" t="n">
        <f aca="false">Y23+Y24+Y25</f>
        <v>2428.713</v>
      </c>
      <c r="Z26" s="41" t="n">
        <f aca="false">Z23+Z24+Z25</f>
        <v>2428.713</v>
      </c>
      <c r="AA26" s="41" t="n">
        <f aca="false">AA23+AA24+AA25</f>
        <v>2514.6005796</v>
      </c>
      <c r="AB26" s="41" t="n">
        <f aca="false">AB23+AB24+AB25</f>
        <v>2514.6005796</v>
      </c>
      <c r="AC26" s="41" t="n">
        <f aca="false">AC23+AC24+AC25</f>
        <v>2794.000644</v>
      </c>
      <c r="AD26" s="41" t="n">
        <f aca="false">AD23+AD24+AD25</f>
        <v>2933.7006762</v>
      </c>
      <c r="AE26" s="41" t="n">
        <f aca="false">AE23+AE24+AE25</f>
        <v>3073.4007084</v>
      </c>
      <c r="AF26" s="41" t="n">
        <f aca="false">AF23+AF24+AF25</f>
        <v>3073.4007084</v>
      </c>
      <c r="AG26" s="41" t="n">
        <f aca="false">AG23+AG24+AG25</f>
        <v>2933.7006762</v>
      </c>
      <c r="AH26" s="41" t="n">
        <f aca="false">AH23+AH24+AH25</f>
        <v>2794.000644</v>
      </c>
      <c r="AI26" s="41" t="n">
        <f aca="false">AI23+AI24+AI25</f>
        <v>2794.000644</v>
      </c>
      <c r="AJ26" s="41" t="n">
        <f aca="false">AJ23+AJ24+AJ25</f>
        <v>2794.000644</v>
      </c>
      <c r="AK26" s="41" t="n">
        <f aca="false">AK23+AK24+AK25</f>
        <v>2654.3006118</v>
      </c>
      <c r="AL26" s="41" t="n">
        <f aca="false">AL23+AL24+AL25</f>
        <v>2654.3006118</v>
      </c>
      <c r="AM26" s="41" t="n">
        <f aca="false">AM23+AM24+AM25</f>
        <v>2749.04887779288</v>
      </c>
      <c r="AN26" s="41" t="n">
        <f aca="false">AN23+AN24+AN25</f>
        <v>2749.04887779288</v>
      </c>
      <c r="AO26" s="41" t="n">
        <f aca="false">AO23+AO24+AO25</f>
        <v>3054.4987531032</v>
      </c>
      <c r="AP26" s="41" t="n">
        <f aca="false">AP23+AP24+AP25</f>
        <v>3207.22369075836</v>
      </c>
      <c r="AQ26" s="41" t="n">
        <f aca="false">AQ23+AQ24+AQ25</f>
        <v>3359.94862841352</v>
      </c>
      <c r="AR26" s="41" t="n">
        <f aca="false">AR23+AR24+AR25</f>
        <v>3359.94862841352</v>
      </c>
      <c r="AS26" s="41" t="n">
        <f aca="false">AS23+AS24+AS25</f>
        <v>3207.22369075836</v>
      </c>
      <c r="AT26" s="41" t="n">
        <f aca="false">AT23+AT24+AT25</f>
        <v>3054.4987531032</v>
      </c>
      <c r="AU26" s="41" t="n">
        <f aca="false">AU23+AU24+AU25</f>
        <v>3054.4987531032</v>
      </c>
      <c r="AV26" s="41" t="n">
        <f aca="false">AV23+AV24+AV25</f>
        <v>3054.4987531032</v>
      </c>
      <c r="AW26" s="41" t="n">
        <f aca="false">AW23+AW24+AW25</f>
        <v>2901.77381544804</v>
      </c>
      <c r="AX26" s="41" t="n">
        <f aca="false">AX23+AX24+AX25</f>
        <v>2901.77381544804</v>
      </c>
      <c r="AY26" s="41" t="n">
        <f aca="false">AY23+AY24+AY25</f>
        <v>3006.33810915268</v>
      </c>
      <c r="AZ26" s="41" t="n">
        <f aca="false">AZ23+AZ24+AZ25</f>
        <v>3006.33810915268</v>
      </c>
      <c r="BA26" s="41" t="n">
        <f aca="false">BA23+BA24+BA25</f>
        <v>3340.37567683631</v>
      </c>
      <c r="BB26" s="41" t="n">
        <f aca="false">BB23+BB24+BB25</f>
        <v>3507.39446067813</v>
      </c>
      <c r="BC26" s="41" t="n">
        <f aca="false">BC23+BC24+BC25</f>
        <v>3674.41324451995</v>
      </c>
      <c r="BD26" s="41" t="n">
        <f aca="false">BD23+BD24+BD25</f>
        <v>3674.41324451995</v>
      </c>
      <c r="BE26" s="41" t="n">
        <f aca="false">BE23+BE24+BE25</f>
        <v>3507.39446067813</v>
      </c>
      <c r="BF26" s="41" t="n">
        <f aca="false">BF23+BF24+BF25</f>
        <v>3340.37567683631</v>
      </c>
      <c r="BG26" s="41" t="n">
        <f aca="false">BG23+BG24+BG25</f>
        <v>3340.37567683631</v>
      </c>
      <c r="BH26" s="41" t="n">
        <f aca="false">BH23+BH24+BH25</f>
        <v>3340.37567683631</v>
      </c>
      <c r="BI26" s="41" t="n">
        <f aca="false">BI23+BI24+BI25</f>
        <v>3173.3568929945</v>
      </c>
      <c r="BJ26" s="41" t="n">
        <f aca="false">BJ23+BJ24+BJ25</f>
        <v>3173.3568929945</v>
      </c>
      <c r="BK26" s="42" t="n">
        <f aca="false">SUMIF($C$5:$BJ$5,BK$5,$C26:$BJ26)</f>
        <v>24733.8</v>
      </c>
      <c r="BL26" s="42" t="n">
        <f aca="false">SUMIF($C$5:$BJ$5,BL$5,$C26:$BJ26)</f>
        <v>30678.48</v>
      </c>
      <c r="BM26" s="42" t="n">
        <f aca="false">SUMIF($C$5:$BJ$5,BM$5,$C26:$BJ26)</f>
        <v>33528.007728</v>
      </c>
      <c r="BN26" s="42" t="n">
        <f aca="false">SUMIF($C$5:$BJ$5,BN$5,$C26:$BJ26)</f>
        <v>36653.9850372384</v>
      </c>
      <c r="BO26" s="42" t="n">
        <f aca="false">SUMIF($C$5:$BJ$5,BO$5,$C26:$BJ26)</f>
        <v>40084.5081220358</v>
      </c>
    </row>
    <row r="28" customFormat="false" ht="15" hidden="false" customHeight="false" outlineLevel="0" collapsed="false">
      <c r="A28" s="39" t="s">
        <v>266</v>
      </c>
      <c r="B28" s="40"/>
      <c r="C28" s="41" t="n">
        <f aca="false">C20+C26</f>
        <v>5753</v>
      </c>
      <c r="D28" s="41" t="n">
        <f aca="false">D20+D26</f>
        <v>5963.6</v>
      </c>
      <c r="E28" s="41" t="n">
        <f aca="false">E20+E26</f>
        <v>6338</v>
      </c>
      <c r="F28" s="41" t="n">
        <f aca="false">F20+F26</f>
        <v>6665.6</v>
      </c>
      <c r="G28" s="41" t="n">
        <f aca="false">G20+G26</f>
        <v>7016.6</v>
      </c>
      <c r="H28" s="41" t="n">
        <f aca="false">H20+H26</f>
        <v>7274</v>
      </c>
      <c r="I28" s="41" t="n">
        <f aca="false">I20+I26</f>
        <v>7157</v>
      </c>
      <c r="J28" s="41" t="n">
        <f aca="false">J20+J26</f>
        <v>7040</v>
      </c>
      <c r="K28" s="41" t="n">
        <f aca="false">K20+K26</f>
        <v>7040</v>
      </c>
      <c r="L28" s="41" t="n">
        <f aca="false">L20+L26</f>
        <v>7040</v>
      </c>
      <c r="M28" s="41" t="n">
        <f aca="false">M20+M26</f>
        <v>6923</v>
      </c>
      <c r="N28" s="41" t="n">
        <f aca="false">N20+N26</f>
        <v>6923</v>
      </c>
      <c r="O28" s="41" t="n">
        <f aca="false">O20+O26</f>
        <v>7141.886</v>
      </c>
      <c r="P28" s="41" t="n">
        <f aca="false">P20+P26</f>
        <v>7141.886</v>
      </c>
      <c r="Q28" s="41" t="n">
        <f aca="false">Q20+Q26</f>
        <v>7397.54</v>
      </c>
      <c r="R28" s="41" t="n">
        <f aca="false">R20+R26</f>
        <v>7525.367</v>
      </c>
      <c r="S28" s="41" t="n">
        <f aca="false">S20+S26</f>
        <v>7653.194</v>
      </c>
      <c r="T28" s="41" t="n">
        <f aca="false">T20+T26</f>
        <v>7653.194</v>
      </c>
      <c r="U28" s="41" t="n">
        <f aca="false">U20+U26</f>
        <v>7525.367</v>
      </c>
      <c r="V28" s="41" t="n">
        <f aca="false">V20+V26</f>
        <v>7397.54</v>
      </c>
      <c r="W28" s="41" t="n">
        <f aca="false">W20+W26</f>
        <v>7397.54</v>
      </c>
      <c r="X28" s="41" t="n">
        <f aca="false">X20+X26</f>
        <v>7397.54</v>
      </c>
      <c r="Y28" s="41" t="n">
        <f aca="false">Y20+Y26</f>
        <v>7269.713</v>
      </c>
      <c r="Z28" s="41" t="n">
        <f aca="false">Z20+Z26</f>
        <v>7269.713</v>
      </c>
      <c r="AA28" s="41" t="n">
        <f aca="false">AA20+AA26</f>
        <v>7500.8305796</v>
      </c>
      <c r="AB28" s="41" t="n">
        <f aca="false">AB20+AB26</f>
        <v>7500.8305796</v>
      </c>
      <c r="AC28" s="41" t="n">
        <f aca="false">AC20+AC26</f>
        <v>7780.230644</v>
      </c>
      <c r="AD28" s="41" t="n">
        <f aca="false">AD20+AD26</f>
        <v>7919.9306762</v>
      </c>
      <c r="AE28" s="41" t="n">
        <f aca="false">AE20+AE26</f>
        <v>8059.6307084</v>
      </c>
      <c r="AF28" s="41" t="n">
        <f aca="false">AF20+AF26</f>
        <v>8059.6307084</v>
      </c>
      <c r="AG28" s="41" t="n">
        <f aca="false">AG20+AG26</f>
        <v>7919.9306762</v>
      </c>
      <c r="AH28" s="41" t="n">
        <f aca="false">AH20+AH26</f>
        <v>7780.230644</v>
      </c>
      <c r="AI28" s="41" t="n">
        <f aca="false">AI20+AI26</f>
        <v>7780.230644</v>
      </c>
      <c r="AJ28" s="41" t="n">
        <f aca="false">AJ20+AJ26</f>
        <v>7780.230644</v>
      </c>
      <c r="AK28" s="41" t="n">
        <f aca="false">AK20+AK26</f>
        <v>7640.5306118</v>
      </c>
      <c r="AL28" s="41" t="n">
        <f aca="false">AL20+AL26</f>
        <v>7640.5306118</v>
      </c>
      <c r="AM28" s="41" t="n">
        <f aca="false">AM20+AM26</f>
        <v>7884.86577779288</v>
      </c>
      <c r="AN28" s="41" t="n">
        <f aca="false">AN20+AN26</f>
        <v>7884.86577779288</v>
      </c>
      <c r="AO28" s="41" t="n">
        <f aca="false">AO20+AO26</f>
        <v>8190.3156531032</v>
      </c>
      <c r="AP28" s="41" t="n">
        <f aca="false">AP20+AP26</f>
        <v>8343.04059075836</v>
      </c>
      <c r="AQ28" s="41" t="n">
        <f aca="false">AQ20+AQ26</f>
        <v>8495.76552841352</v>
      </c>
      <c r="AR28" s="41" t="n">
        <f aca="false">AR20+AR26</f>
        <v>8495.76552841352</v>
      </c>
      <c r="AS28" s="41" t="n">
        <f aca="false">AS20+AS26</f>
        <v>8343.04059075836</v>
      </c>
      <c r="AT28" s="41" t="n">
        <f aca="false">AT20+AT26</f>
        <v>8190.3156531032</v>
      </c>
      <c r="AU28" s="41" t="n">
        <f aca="false">AU20+AU26</f>
        <v>8190.3156531032</v>
      </c>
      <c r="AV28" s="41" t="n">
        <f aca="false">AV20+AV26</f>
        <v>8190.3156531032</v>
      </c>
      <c r="AW28" s="41" t="n">
        <f aca="false">AW20+AW26</f>
        <v>8037.59071544804</v>
      </c>
      <c r="AX28" s="41" t="n">
        <f aca="false">AX20+AX26</f>
        <v>8037.59071544804</v>
      </c>
      <c r="AY28" s="41" t="n">
        <f aca="false">AY20+AY26</f>
        <v>8296.22951615268</v>
      </c>
      <c r="AZ28" s="41" t="n">
        <f aca="false">AZ20+AZ26</f>
        <v>8296.22951615268</v>
      </c>
      <c r="BA28" s="41" t="n">
        <f aca="false">BA20+BA26</f>
        <v>8630.26708383632</v>
      </c>
      <c r="BB28" s="41" t="n">
        <f aca="false">BB20+BB26</f>
        <v>8797.28586767813</v>
      </c>
      <c r="BC28" s="41" t="n">
        <f aca="false">BC20+BC26</f>
        <v>8964.30465151995</v>
      </c>
      <c r="BD28" s="41" t="n">
        <f aca="false">BD20+BD26</f>
        <v>8964.30465151995</v>
      </c>
      <c r="BE28" s="41" t="n">
        <f aca="false">BE20+BE26</f>
        <v>8797.28586767813</v>
      </c>
      <c r="BF28" s="41" t="n">
        <f aca="false">BF20+BF26</f>
        <v>8630.26708383632</v>
      </c>
      <c r="BG28" s="41" t="n">
        <f aca="false">BG20+BG26</f>
        <v>8630.26708383632</v>
      </c>
      <c r="BH28" s="41" t="n">
        <f aca="false">BH20+BH26</f>
        <v>8630.26708383632</v>
      </c>
      <c r="BI28" s="41" t="n">
        <f aca="false">BI20+BI26</f>
        <v>8463.2482999945</v>
      </c>
      <c r="BJ28" s="41" t="n">
        <f aca="false">BJ20+BJ26</f>
        <v>8463.2482999945</v>
      </c>
      <c r="BK28" s="42" t="n">
        <f aca="false">SUMIF($C$5:$BJ$5,BK$5,$C28:$BJ28)</f>
        <v>81133.8</v>
      </c>
      <c r="BL28" s="42" t="n">
        <f aca="false">SUMIF($C$5:$BJ$5,BL$5,$C28:$BJ28)</f>
        <v>88770.48</v>
      </c>
      <c r="BM28" s="42" t="n">
        <f aca="false">SUMIF($C$5:$BJ$5,BM$5,$C28:$BJ28)</f>
        <v>93362.767728</v>
      </c>
      <c r="BN28" s="42" t="n">
        <f aca="false">SUMIF($C$5:$BJ$5,BN$5,$C28:$BJ28)</f>
        <v>98283.7878372384</v>
      </c>
      <c r="BO28" s="42" t="n">
        <f aca="false">SUMIF($C$5:$BJ$5,BO$5,$C28:$BJ28)</f>
        <v>103563.205006036</v>
      </c>
    </row>
    <row r="29" customFormat="false" ht="15" hidden="false" customHeight="false" outlineLevel="0" collapsed="false">
      <c r="A29" s="18" t="s">
        <v>267</v>
      </c>
      <c r="B29" s="2"/>
      <c r="C29" s="24" t="n">
        <f aca="false">IF(C7=0,0,C28/C7)</f>
        <v>0.327806267806268</v>
      </c>
      <c r="D29" s="24" t="n">
        <f aca="false">IF(D7=0,0,D28/D7)</f>
        <v>0.283171889838557</v>
      </c>
      <c r="E29" s="24" t="n">
        <f aca="false">IF(E7=0,0,E28/E7)</f>
        <v>0.232161172161172</v>
      </c>
      <c r="F29" s="24" t="n">
        <f aca="false">IF(F7=0,0,F28/F7)</f>
        <v>0.203467643467643</v>
      </c>
      <c r="G29" s="24" t="n">
        <f aca="false">IF(G7=0,0,G28/G7)</f>
        <v>0.181730121730122</v>
      </c>
      <c r="H29" s="24" t="n">
        <f aca="false">IF(H7=0,0,H28/H7)</f>
        <v>0.16955710955711</v>
      </c>
      <c r="I29" s="24" t="n">
        <f aca="false">IF(I7=0,0,I28/I7)</f>
        <v>0.174774114774115</v>
      </c>
      <c r="J29" s="24" t="n">
        <f aca="false">IF(J7=0,0,J28/J7)</f>
        <v>0.180512820512821</v>
      </c>
      <c r="K29" s="24" t="n">
        <f aca="false">IF(K7=0,0,K28/K7)</f>
        <v>0.180512820512821</v>
      </c>
      <c r="L29" s="24" t="n">
        <f aca="false">IF(L7=0,0,L28/L7)</f>
        <v>0.180512820512821</v>
      </c>
      <c r="M29" s="24" t="n">
        <f aca="false">IF(M7=0,0,M28/M7)</f>
        <v>0.186855600539811</v>
      </c>
      <c r="N29" s="24" t="n">
        <f aca="false">IF(N7=0,0,N28/N7)</f>
        <v>0.186855600539811</v>
      </c>
      <c r="O29" s="24" t="n">
        <f aca="false">IF(O7=0,0,O28/O7)</f>
        <v>0.186238327322605</v>
      </c>
      <c r="P29" s="24" t="n">
        <f aca="false">IF(P7=0,0,P28/P7)</f>
        <v>0.186238327322605</v>
      </c>
      <c r="Q29" s="24" t="n">
        <f aca="false">IF(Q7=0,0,Q28/Q7)</f>
        <v>0.173614494590345</v>
      </c>
      <c r="R29" s="24" t="n">
        <f aca="false">IF(R7=0,0,R28/R7)</f>
        <v>0.168204280562233</v>
      </c>
      <c r="S29" s="24" t="n">
        <f aca="false">IF(S7=0,0,S28/S7)</f>
        <v>0.163285904173041</v>
      </c>
      <c r="T29" s="24" t="n">
        <f aca="false">IF(T7=0,0,T28/T7)</f>
        <v>0.163285904173041</v>
      </c>
      <c r="U29" s="24" t="n">
        <f aca="false">IF(U7=0,0,U28/U7)</f>
        <v>0.168204280562233</v>
      </c>
      <c r="V29" s="24" t="n">
        <f aca="false">IF(V7=0,0,V28/V7)</f>
        <v>0.173614494590345</v>
      </c>
      <c r="W29" s="24" t="n">
        <f aca="false">IF(W7=0,0,W28/W7)</f>
        <v>0.173614494590345</v>
      </c>
      <c r="X29" s="24" t="n">
        <f aca="false">IF(X7=0,0,X28/X7)</f>
        <v>0.173614494590345</v>
      </c>
      <c r="Y29" s="24" t="n">
        <f aca="false">IF(Y7=0,0,Y28/Y7)</f>
        <v>0.179594204831942</v>
      </c>
      <c r="Z29" s="24" t="n">
        <f aca="false">IF(Z7=0,0,Z28/Z7)</f>
        <v>0.179594204831942</v>
      </c>
      <c r="AA29" s="24" t="n">
        <f aca="false">IF(AA7=0,0,AA28/AA7)</f>
        <v>0.178974680284051</v>
      </c>
      <c r="AB29" s="24" t="n">
        <f aca="false">IF(AB7=0,0,AB28/AB7)</f>
        <v>0.178974680284051</v>
      </c>
      <c r="AC29" s="24" t="n">
        <f aca="false">IF(AC7=0,0,AC28/AC7)</f>
        <v>0.167077212255646</v>
      </c>
      <c r="AD29" s="24" t="n">
        <f aca="false">IF(AD7=0,0,AD28/AD7)</f>
        <v>0.16197829738633</v>
      </c>
      <c r="AE29" s="24" t="n">
        <f aca="false">IF(AE7=0,0,AE28/AE7)</f>
        <v>0.157342920232406</v>
      </c>
      <c r="AF29" s="24" t="n">
        <f aca="false">IF(AF7=0,0,AF28/AF7)</f>
        <v>0.157342920232406</v>
      </c>
      <c r="AG29" s="24" t="n">
        <f aca="false">IF(AG7=0,0,AG28/AG7)</f>
        <v>0.16197829738633</v>
      </c>
      <c r="AH29" s="24" t="n">
        <f aca="false">IF(AH7=0,0,AH28/AH7)</f>
        <v>0.167077212255646</v>
      </c>
      <c r="AI29" s="24" t="n">
        <f aca="false">IF(AI7=0,0,AI28/AI7)</f>
        <v>0.167077212255646</v>
      </c>
      <c r="AJ29" s="24" t="n">
        <f aca="false">IF(AJ7=0,0,AJ28/AJ7)</f>
        <v>0.167077212255646</v>
      </c>
      <c r="AK29" s="24" t="n">
        <f aca="false">IF(AK7=0,0,AK28/AK7)</f>
        <v>0.172712855005943</v>
      </c>
      <c r="AL29" s="24" t="n">
        <f aca="false">IF(AL7=0,0,AL28/AL7)</f>
        <v>0.172712855005943</v>
      </c>
      <c r="AM29" s="24" t="n">
        <f aca="false">IF(AM7=0,0,AM28/AM7)</f>
        <v>0.17209295567251</v>
      </c>
      <c r="AN29" s="24" t="n">
        <f aca="false">IF(AN7=0,0,AN28/AN7)</f>
        <v>0.17209295567251</v>
      </c>
      <c r="AO29" s="24" t="n">
        <f aca="false">IF(AO7=0,0,AO28/AO7)</f>
        <v>0.160883660105259</v>
      </c>
      <c r="AP29" s="24" t="n">
        <f aca="false">IF(AP7=0,0,AP28/AP7)</f>
        <v>0.156079676290723</v>
      </c>
      <c r="AQ29" s="24" t="n">
        <f aca="false">IF(AQ7=0,0,AQ28/AQ7)</f>
        <v>0.151712418277508</v>
      </c>
      <c r="AR29" s="24" t="n">
        <f aca="false">IF(AR7=0,0,AR28/AR7)</f>
        <v>0.151712418277508</v>
      </c>
      <c r="AS29" s="24" t="n">
        <f aca="false">IF(AS7=0,0,AS28/AS7)</f>
        <v>0.156079676290723</v>
      </c>
      <c r="AT29" s="24" t="n">
        <f aca="false">IF(AT7=0,0,AT28/AT7)</f>
        <v>0.160883660105259</v>
      </c>
      <c r="AU29" s="24" t="n">
        <f aca="false">IF(AU7=0,0,AU28/AU7)</f>
        <v>0.160883660105259</v>
      </c>
      <c r="AV29" s="24" t="n">
        <f aca="false">IF(AV7=0,0,AV28/AV7)</f>
        <v>0.160883660105259</v>
      </c>
      <c r="AW29" s="24" t="n">
        <f aca="false">IF(AW7=0,0,AW28/AW7)</f>
        <v>0.166193326426588</v>
      </c>
      <c r="AX29" s="24" t="n">
        <f aca="false">IF(AX7=0,0,AX28/AX7)</f>
        <v>0.166193326426588</v>
      </c>
      <c r="AY29" s="24" t="n">
        <f aca="false">IF(AY7=0,0,AY28/AY7)</f>
        <v>0.165574779980238</v>
      </c>
      <c r="AZ29" s="24" t="n">
        <f aca="false">IF(AZ7=0,0,AZ28/AZ7)</f>
        <v>0.165574779980238</v>
      </c>
      <c r="BA29" s="24" t="n">
        <f aca="false">IF(BA7=0,0,BA28/BA7)</f>
        <v>0.155017301982214</v>
      </c>
      <c r="BB29" s="24" t="n">
        <f aca="false">IF(BB7=0,0,BB28/BB7)</f>
        <v>0.15049266855449</v>
      </c>
      <c r="BC29" s="24" t="n">
        <f aca="false">IF(BC7=0,0,BC28/BC7)</f>
        <v>0.146379365438377</v>
      </c>
      <c r="BD29" s="24" t="n">
        <f aca="false">IF(BD7=0,0,BD28/BD7)</f>
        <v>0.146379365438377</v>
      </c>
      <c r="BE29" s="24" t="n">
        <f aca="false">IF(BE7=0,0,BE28/BE7)</f>
        <v>0.15049266855449</v>
      </c>
      <c r="BF29" s="24" t="n">
        <f aca="false">IF(BF7=0,0,BF28/BF7)</f>
        <v>0.155017301982214</v>
      </c>
      <c r="BG29" s="24" t="n">
        <f aca="false">IF(BG7=0,0,BG28/BG7)</f>
        <v>0.155017301982214</v>
      </c>
      <c r="BH29" s="24" t="n">
        <f aca="false">IF(BH7=0,0,BH28/BH7)</f>
        <v>0.155017301982214</v>
      </c>
      <c r="BI29" s="24" t="n">
        <f aca="false">IF(BI7=0,0,BI28/BI7)</f>
        <v>0.160018212612857</v>
      </c>
      <c r="BJ29" s="24" t="n">
        <f aca="false">IF(BJ7=0,0,BJ28/BJ7)</f>
        <v>0.160018212612857</v>
      </c>
      <c r="BK29" s="45" t="n">
        <f aca="false">IF(BK7=0,0,BK28/BK7)</f>
        <v>0.196816825558547</v>
      </c>
      <c r="BL29" s="45" t="n">
        <f aca="false">IF(BL7=0,0,BL28/BL7)</f>
        <v>0.173614494590345</v>
      </c>
      <c r="BM29" s="45" t="n">
        <f aca="false">IF(BM7=0,0,BM28/BM7)</f>
        <v>0.167077212255646</v>
      </c>
      <c r="BN29" s="45" t="n">
        <f aca="false">IF(BN7=0,0,BN28/BN7)</f>
        <v>0.160883660105259</v>
      </c>
      <c r="BO29" s="45" t="n">
        <f aca="false">IF(BO7=0,0,BO28/BO7)</f>
        <v>0.155017301982214</v>
      </c>
    </row>
    <row r="30" customFormat="false" ht="15" hidden="false" customHeight="false" outlineLevel="0" collapsed="false">
      <c r="A30" s="18" t="s">
        <v>268</v>
      </c>
      <c r="B30" s="2"/>
      <c r="C30" s="14" t="n">
        <f aca="false">C17+C24</f>
        <v>751</v>
      </c>
      <c r="D30" s="14" t="n">
        <f aca="false">D17+D24</f>
        <v>821.2</v>
      </c>
      <c r="E30" s="14" t="n">
        <f aca="false">E17+E24</f>
        <v>946</v>
      </c>
      <c r="F30" s="14" t="n">
        <f aca="false">F17+F24</f>
        <v>1055.2</v>
      </c>
      <c r="G30" s="14" t="n">
        <f aca="false">G17+G24</f>
        <v>1172.2</v>
      </c>
      <c r="H30" s="14" t="n">
        <f aca="false">H17+H24</f>
        <v>1258</v>
      </c>
      <c r="I30" s="14" t="n">
        <f aca="false">I17+I24</f>
        <v>1219</v>
      </c>
      <c r="J30" s="14" t="n">
        <f aca="false">J17+J24</f>
        <v>1180</v>
      </c>
      <c r="K30" s="14" t="n">
        <f aca="false">K17+K24</f>
        <v>1180</v>
      </c>
      <c r="L30" s="14" t="n">
        <f aca="false">L17+L24</f>
        <v>1180</v>
      </c>
      <c r="M30" s="14" t="n">
        <f aca="false">M17+M24</f>
        <v>1141</v>
      </c>
      <c r="N30" s="14" t="n">
        <f aca="false">N17+N24</f>
        <v>1141</v>
      </c>
      <c r="O30" s="14" t="n">
        <f aca="false">O17+O24</f>
        <v>1178.962</v>
      </c>
      <c r="P30" s="14" t="n">
        <f aca="false">P17+P24</f>
        <v>1178.962</v>
      </c>
      <c r="Q30" s="14" t="n">
        <f aca="false">Q17+Q24</f>
        <v>1264.18</v>
      </c>
      <c r="R30" s="14" t="n">
        <f aca="false">R17+R24</f>
        <v>1306.789</v>
      </c>
      <c r="S30" s="14" t="n">
        <f aca="false">S17+S24</f>
        <v>1349.398</v>
      </c>
      <c r="T30" s="14" t="n">
        <f aca="false">T17+T24</f>
        <v>1349.398</v>
      </c>
      <c r="U30" s="14" t="n">
        <f aca="false">U17+U24</f>
        <v>1306.789</v>
      </c>
      <c r="V30" s="14" t="n">
        <f aca="false">V17+V24</f>
        <v>1264.18</v>
      </c>
      <c r="W30" s="14" t="n">
        <f aca="false">W17+W24</f>
        <v>1264.18</v>
      </c>
      <c r="X30" s="14" t="n">
        <f aca="false">X17+X24</f>
        <v>1264.18</v>
      </c>
      <c r="Y30" s="14" t="n">
        <f aca="false">Y17+Y24</f>
        <v>1221.571</v>
      </c>
      <c r="Z30" s="14" t="n">
        <f aca="false">Z17+Z24</f>
        <v>1221.571</v>
      </c>
      <c r="AA30" s="14" t="n">
        <f aca="false">AA17+AA24</f>
        <v>1262.5601932</v>
      </c>
      <c r="AB30" s="14" t="n">
        <f aca="false">AB17+AB24</f>
        <v>1262.5601932</v>
      </c>
      <c r="AC30" s="14" t="n">
        <f aca="false">AC17+AC24</f>
        <v>1355.693548</v>
      </c>
      <c r="AD30" s="14" t="n">
        <f aca="false">AD17+AD24</f>
        <v>1402.2602254</v>
      </c>
      <c r="AE30" s="14" t="n">
        <f aca="false">AE17+AE24</f>
        <v>1448.8269028</v>
      </c>
      <c r="AF30" s="14" t="n">
        <f aca="false">AF17+AF24</f>
        <v>1448.8269028</v>
      </c>
      <c r="AG30" s="14" t="n">
        <f aca="false">AG17+AG24</f>
        <v>1402.2602254</v>
      </c>
      <c r="AH30" s="14" t="n">
        <f aca="false">AH17+AH24</f>
        <v>1355.693548</v>
      </c>
      <c r="AI30" s="14" t="n">
        <f aca="false">AI17+AI24</f>
        <v>1355.693548</v>
      </c>
      <c r="AJ30" s="14" t="n">
        <f aca="false">AJ17+AJ24</f>
        <v>1355.693548</v>
      </c>
      <c r="AK30" s="14" t="n">
        <f aca="false">AK17+AK24</f>
        <v>1309.1268706</v>
      </c>
      <c r="AL30" s="14" t="n">
        <f aca="false">AL17+AL24</f>
        <v>1309.1268706</v>
      </c>
      <c r="AM30" s="14" t="n">
        <f aca="false">AM17+AM24</f>
        <v>1353.44042593096</v>
      </c>
      <c r="AN30" s="14" t="n">
        <f aca="false">AN17+AN24</f>
        <v>1353.44042593096</v>
      </c>
      <c r="AO30" s="14" t="n">
        <f aca="false">AO17+AO24</f>
        <v>1455.2570510344</v>
      </c>
      <c r="AP30" s="14" t="n">
        <f aca="false">AP17+AP24</f>
        <v>1506.16536358612</v>
      </c>
      <c r="AQ30" s="14" t="n">
        <f aca="false">AQ17+AQ24</f>
        <v>1557.07367613784</v>
      </c>
      <c r="AR30" s="14" t="n">
        <f aca="false">AR17+AR24</f>
        <v>1557.07367613784</v>
      </c>
      <c r="AS30" s="14" t="n">
        <f aca="false">AS17+AS24</f>
        <v>1506.16536358612</v>
      </c>
      <c r="AT30" s="14" t="n">
        <f aca="false">AT17+AT24</f>
        <v>1455.2570510344</v>
      </c>
      <c r="AU30" s="14" t="n">
        <f aca="false">AU17+AU24</f>
        <v>1455.2570510344</v>
      </c>
      <c r="AV30" s="14" t="n">
        <f aca="false">AV17+AV24</f>
        <v>1455.2570510344</v>
      </c>
      <c r="AW30" s="14" t="n">
        <f aca="false">AW17+AW24</f>
        <v>1404.34873848268</v>
      </c>
      <c r="AX30" s="14" t="n">
        <f aca="false">AX17+AX24</f>
        <v>1404.34873848268</v>
      </c>
      <c r="AY30" s="14" t="n">
        <f aca="false">AY17+AY24</f>
        <v>1452.31622705089</v>
      </c>
      <c r="AZ30" s="14" t="n">
        <f aca="false">AZ17+AZ24</f>
        <v>1452.31622705089</v>
      </c>
      <c r="BA30" s="14" t="n">
        <f aca="false">BA17+BA24</f>
        <v>1563.66208294544</v>
      </c>
      <c r="BB30" s="14" t="n">
        <f aca="false">BB17+BB24</f>
        <v>1619.33501089271</v>
      </c>
      <c r="BC30" s="14" t="n">
        <f aca="false">BC17+BC24</f>
        <v>1675.00793883998</v>
      </c>
      <c r="BD30" s="14" t="n">
        <f aca="false">BD17+BD24</f>
        <v>1675.00793883998</v>
      </c>
      <c r="BE30" s="14" t="n">
        <f aca="false">BE17+BE24</f>
        <v>1619.33501089271</v>
      </c>
      <c r="BF30" s="14" t="n">
        <f aca="false">BF17+BF24</f>
        <v>1563.66208294544</v>
      </c>
      <c r="BG30" s="14" t="n">
        <f aca="false">BG17+BG24</f>
        <v>1563.66208294544</v>
      </c>
      <c r="BH30" s="14" t="n">
        <f aca="false">BH17+BH24</f>
        <v>1563.66208294544</v>
      </c>
      <c r="BI30" s="14" t="n">
        <f aca="false">BI17+BI24</f>
        <v>1507.98915499817</v>
      </c>
      <c r="BJ30" s="14" t="n">
        <f aca="false">BJ17+BJ24</f>
        <v>1507.98915499817</v>
      </c>
      <c r="BK30" s="43" t="n">
        <f aca="false">SUMIF($C$5:$BJ$5,BK$5,$C30:$BJ30)</f>
        <v>13044.6</v>
      </c>
      <c r="BL30" s="43" t="n">
        <f aca="false">SUMIF($C$5:$BJ$5,BL$5,$C30:$BJ30)</f>
        <v>15170.16</v>
      </c>
      <c r="BM30" s="43" t="n">
        <f aca="false">SUMIF($C$5:$BJ$5,BM$5,$C30:$BJ30)</f>
        <v>16268.322576</v>
      </c>
      <c r="BN30" s="43" t="n">
        <f aca="false">SUMIF($C$5:$BJ$5,BN$5,$C30:$BJ30)</f>
        <v>17463.0846124128</v>
      </c>
      <c r="BO30" s="43" t="n">
        <f aca="false">SUMIF($C$5:$BJ$5,BO$5,$C30:$BJ30)</f>
        <v>18763.9449953453</v>
      </c>
    </row>
    <row r="32" customFormat="false" ht="15" hidden="false" customHeight="false" outlineLevel="0" collapsed="false">
      <c r="A32" s="33" t="s">
        <v>269</v>
      </c>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row>
    <row r="33" customFormat="false" ht="15" hidden="false" customHeight="false" outlineLevel="0" collapsed="false">
      <c r="A33" s="18" t="s">
        <v>148</v>
      </c>
      <c r="B33" s="2"/>
      <c r="C33" s="14" t="n">
        <f aca="false">IF(Assumptions!$C$75&gt;0,IF(C4&lt;=Assumptions!$C$75*12,Assumptions!$C$62/(Assumptions!$C$75*12),0),0)</f>
        <v>357.142857142857</v>
      </c>
      <c r="D33" s="14" t="n">
        <f aca="false">IF(Assumptions!$C$75&gt;0,IF(D4&lt;=Assumptions!$C$75*12,Assumptions!$C$62/(Assumptions!$C$75*12),0),0)</f>
        <v>357.142857142857</v>
      </c>
      <c r="E33" s="14" t="n">
        <f aca="false">IF(Assumptions!$C$75&gt;0,IF(E4&lt;=Assumptions!$C$75*12,Assumptions!$C$62/(Assumptions!$C$75*12),0),0)</f>
        <v>357.142857142857</v>
      </c>
      <c r="F33" s="14" t="n">
        <f aca="false">IF(Assumptions!$C$75&gt;0,IF(F4&lt;=Assumptions!$C$75*12,Assumptions!$C$62/(Assumptions!$C$75*12),0),0)</f>
        <v>357.142857142857</v>
      </c>
      <c r="G33" s="14" t="n">
        <f aca="false">IF(Assumptions!$C$75&gt;0,IF(G4&lt;=Assumptions!$C$75*12,Assumptions!$C$62/(Assumptions!$C$75*12),0),0)</f>
        <v>357.142857142857</v>
      </c>
      <c r="H33" s="14" t="n">
        <f aca="false">IF(Assumptions!$C$75&gt;0,IF(H4&lt;=Assumptions!$C$75*12,Assumptions!$C$62/(Assumptions!$C$75*12),0),0)</f>
        <v>357.142857142857</v>
      </c>
      <c r="I33" s="14" t="n">
        <f aca="false">IF(Assumptions!$C$75&gt;0,IF(I4&lt;=Assumptions!$C$75*12,Assumptions!$C$62/(Assumptions!$C$75*12),0),0)</f>
        <v>357.142857142857</v>
      </c>
      <c r="J33" s="14" t="n">
        <f aca="false">IF(Assumptions!$C$75&gt;0,IF(J4&lt;=Assumptions!$C$75*12,Assumptions!$C$62/(Assumptions!$C$75*12),0),0)</f>
        <v>357.142857142857</v>
      </c>
      <c r="K33" s="14" t="n">
        <f aca="false">IF(Assumptions!$C$75&gt;0,IF(K4&lt;=Assumptions!$C$75*12,Assumptions!$C$62/(Assumptions!$C$75*12),0),0)</f>
        <v>357.142857142857</v>
      </c>
      <c r="L33" s="14" t="n">
        <f aca="false">IF(Assumptions!$C$75&gt;0,IF(L4&lt;=Assumptions!$C$75*12,Assumptions!$C$62/(Assumptions!$C$75*12),0),0)</f>
        <v>357.142857142857</v>
      </c>
      <c r="M33" s="14" t="n">
        <f aca="false">IF(Assumptions!$C$75&gt;0,IF(M4&lt;=Assumptions!$C$75*12,Assumptions!$C$62/(Assumptions!$C$75*12),0),0)</f>
        <v>357.142857142857</v>
      </c>
      <c r="N33" s="14" t="n">
        <f aca="false">IF(Assumptions!$C$75&gt;0,IF(N4&lt;=Assumptions!$C$75*12,Assumptions!$C$62/(Assumptions!$C$75*12),0),0)</f>
        <v>357.142857142857</v>
      </c>
      <c r="O33" s="14" t="n">
        <f aca="false">IF(Assumptions!$C$75&gt;0,IF(O4&lt;=Assumptions!$C$75*12,Assumptions!$C$62/(Assumptions!$C$75*12),0),0)</f>
        <v>357.142857142857</v>
      </c>
      <c r="P33" s="14" t="n">
        <f aca="false">IF(Assumptions!$C$75&gt;0,IF(P4&lt;=Assumptions!$C$75*12,Assumptions!$C$62/(Assumptions!$C$75*12),0),0)</f>
        <v>357.142857142857</v>
      </c>
      <c r="Q33" s="14" t="n">
        <f aca="false">IF(Assumptions!$C$75&gt;0,IF(Q4&lt;=Assumptions!$C$75*12,Assumptions!$C$62/(Assumptions!$C$75*12),0),0)</f>
        <v>357.142857142857</v>
      </c>
      <c r="R33" s="14" t="n">
        <f aca="false">IF(Assumptions!$C$75&gt;0,IF(R4&lt;=Assumptions!$C$75*12,Assumptions!$C$62/(Assumptions!$C$75*12),0),0)</f>
        <v>357.142857142857</v>
      </c>
      <c r="S33" s="14" t="n">
        <f aca="false">IF(Assumptions!$C$75&gt;0,IF(S4&lt;=Assumptions!$C$75*12,Assumptions!$C$62/(Assumptions!$C$75*12),0),0)</f>
        <v>357.142857142857</v>
      </c>
      <c r="T33" s="14" t="n">
        <f aca="false">IF(Assumptions!$C$75&gt;0,IF(T4&lt;=Assumptions!$C$75*12,Assumptions!$C$62/(Assumptions!$C$75*12),0),0)</f>
        <v>357.142857142857</v>
      </c>
      <c r="U33" s="14" t="n">
        <f aca="false">IF(Assumptions!$C$75&gt;0,IF(U4&lt;=Assumptions!$C$75*12,Assumptions!$C$62/(Assumptions!$C$75*12),0),0)</f>
        <v>357.142857142857</v>
      </c>
      <c r="V33" s="14" t="n">
        <f aca="false">IF(Assumptions!$C$75&gt;0,IF(V4&lt;=Assumptions!$C$75*12,Assumptions!$C$62/(Assumptions!$C$75*12),0),0)</f>
        <v>357.142857142857</v>
      </c>
      <c r="W33" s="14" t="n">
        <f aca="false">IF(Assumptions!$C$75&gt;0,IF(W4&lt;=Assumptions!$C$75*12,Assumptions!$C$62/(Assumptions!$C$75*12),0),0)</f>
        <v>357.142857142857</v>
      </c>
      <c r="X33" s="14" t="n">
        <f aca="false">IF(Assumptions!$C$75&gt;0,IF(X4&lt;=Assumptions!$C$75*12,Assumptions!$C$62/(Assumptions!$C$75*12),0),0)</f>
        <v>357.142857142857</v>
      </c>
      <c r="Y33" s="14" t="n">
        <f aca="false">IF(Assumptions!$C$75&gt;0,IF(Y4&lt;=Assumptions!$C$75*12,Assumptions!$C$62/(Assumptions!$C$75*12),0),0)</f>
        <v>357.142857142857</v>
      </c>
      <c r="Z33" s="14" t="n">
        <f aca="false">IF(Assumptions!$C$75&gt;0,IF(Z4&lt;=Assumptions!$C$75*12,Assumptions!$C$62/(Assumptions!$C$75*12),0),0)</f>
        <v>357.142857142857</v>
      </c>
      <c r="AA33" s="14" t="n">
        <f aca="false">IF(Assumptions!$C$75&gt;0,IF(AA4&lt;=Assumptions!$C$75*12,Assumptions!$C$62/(Assumptions!$C$75*12),0),0)</f>
        <v>357.142857142857</v>
      </c>
      <c r="AB33" s="14" t="n">
        <f aca="false">IF(Assumptions!$C$75&gt;0,IF(AB4&lt;=Assumptions!$C$75*12,Assumptions!$C$62/(Assumptions!$C$75*12),0),0)</f>
        <v>357.142857142857</v>
      </c>
      <c r="AC33" s="14" t="n">
        <f aca="false">IF(Assumptions!$C$75&gt;0,IF(AC4&lt;=Assumptions!$C$75*12,Assumptions!$C$62/(Assumptions!$C$75*12),0),0)</f>
        <v>357.142857142857</v>
      </c>
      <c r="AD33" s="14" t="n">
        <f aca="false">IF(Assumptions!$C$75&gt;0,IF(AD4&lt;=Assumptions!$C$75*12,Assumptions!$C$62/(Assumptions!$C$75*12),0),0)</f>
        <v>357.142857142857</v>
      </c>
      <c r="AE33" s="14" t="n">
        <f aca="false">IF(Assumptions!$C$75&gt;0,IF(AE4&lt;=Assumptions!$C$75*12,Assumptions!$C$62/(Assumptions!$C$75*12),0),0)</f>
        <v>357.142857142857</v>
      </c>
      <c r="AF33" s="14" t="n">
        <f aca="false">IF(Assumptions!$C$75&gt;0,IF(AF4&lt;=Assumptions!$C$75*12,Assumptions!$C$62/(Assumptions!$C$75*12),0),0)</f>
        <v>357.142857142857</v>
      </c>
      <c r="AG33" s="14" t="n">
        <f aca="false">IF(Assumptions!$C$75&gt;0,IF(AG4&lt;=Assumptions!$C$75*12,Assumptions!$C$62/(Assumptions!$C$75*12),0),0)</f>
        <v>357.142857142857</v>
      </c>
      <c r="AH33" s="14" t="n">
        <f aca="false">IF(Assumptions!$C$75&gt;0,IF(AH4&lt;=Assumptions!$C$75*12,Assumptions!$C$62/(Assumptions!$C$75*12),0),0)</f>
        <v>357.142857142857</v>
      </c>
      <c r="AI33" s="14" t="n">
        <f aca="false">IF(Assumptions!$C$75&gt;0,IF(AI4&lt;=Assumptions!$C$75*12,Assumptions!$C$62/(Assumptions!$C$75*12),0),0)</f>
        <v>357.142857142857</v>
      </c>
      <c r="AJ33" s="14" t="n">
        <f aca="false">IF(Assumptions!$C$75&gt;0,IF(AJ4&lt;=Assumptions!$C$75*12,Assumptions!$C$62/(Assumptions!$C$75*12),0),0)</f>
        <v>357.142857142857</v>
      </c>
      <c r="AK33" s="14" t="n">
        <f aca="false">IF(Assumptions!$C$75&gt;0,IF(AK4&lt;=Assumptions!$C$75*12,Assumptions!$C$62/(Assumptions!$C$75*12),0),0)</f>
        <v>357.142857142857</v>
      </c>
      <c r="AL33" s="14" t="n">
        <f aca="false">IF(Assumptions!$C$75&gt;0,IF(AL4&lt;=Assumptions!$C$75*12,Assumptions!$C$62/(Assumptions!$C$75*12),0),0)</f>
        <v>357.142857142857</v>
      </c>
      <c r="AM33" s="14" t="n">
        <f aca="false">IF(Assumptions!$C$75&gt;0,IF(AM4&lt;=Assumptions!$C$75*12,Assumptions!$C$62/(Assumptions!$C$75*12),0),0)</f>
        <v>357.142857142857</v>
      </c>
      <c r="AN33" s="14" t="n">
        <f aca="false">IF(Assumptions!$C$75&gt;0,IF(AN4&lt;=Assumptions!$C$75*12,Assumptions!$C$62/(Assumptions!$C$75*12),0),0)</f>
        <v>357.142857142857</v>
      </c>
      <c r="AO33" s="14" t="n">
        <f aca="false">IF(Assumptions!$C$75&gt;0,IF(AO4&lt;=Assumptions!$C$75*12,Assumptions!$C$62/(Assumptions!$C$75*12),0),0)</f>
        <v>357.142857142857</v>
      </c>
      <c r="AP33" s="14" t="n">
        <f aca="false">IF(Assumptions!$C$75&gt;0,IF(AP4&lt;=Assumptions!$C$75*12,Assumptions!$C$62/(Assumptions!$C$75*12),0),0)</f>
        <v>357.142857142857</v>
      </c>
      <c r="AQ33" s="14" t="n">
        <f aca="false">IF(Assumptions!$C$75&gt;0,IF(AQ4&lt;=Assumptions!$C$75*12,Assumptions!$C$62/(Assumptions!$C$75*12),0),0)</f>
        <v>357.142857142857</v>
      </c>
      <c r="AR33" s="14" t="n">
        <f aca="false">IF(Assumptions!$C$75&gt;0,IF(AR4&lt;=Assumptions!$C$75*12,Assumptions!$C$62/(Assumptions!$C$75*12),0),0)</f>
        <v>357.142857142857</v>
      </c>
      <c r="AS33" s="14" t="n">
        <f aca="false">IF(Assumptions!$C$75&gt;0,IF(AS4&lt;=Assumptions!$C$75*12,Assumptions!$C$62/(Assumptions!$C$75*12),0),0)</f>
        <v>357.142857142857</v>
      </c>
      <c r="AT33" s="14" t="n">
        <f aca="false">IF(Assumptions!$C$75&gt;0,IF(AT4&lt;=Assumptions!$C$75*12,Assumptions!$C$62/(Assumptions!$C$75*12),0),0)</f>
        <v>357.142857142857</v>
      </c>
      <c r="AU33" s="14" t="n">
        <f aca="false">IF(Assumptions!$C$75&gt;0,IF(AU4&lt;=Assumptions!$C$75*12,Assumptions!$C$62/(Assumptions!$C$75*12),0),0)</f>
        <v>357.142857142857</v>
      </c>
      <c r="AV33" s="14" t="n">
        <f aca="false">IF(Assumptions!$C$75&gt;0,IF(AV4&lt;=Assumptions!$C$75*12,Assumptions!$C$62/(Assumptions!$C$75*12),0),0)</f>
        <v>357.142857142857</v>
      </c>
      <c r="AW33" s="14" t="n">
        <f aca="false">IF(Assumptions!$C$75&gt;0,IF(AW4&lt;=Assumptions!$C$75*12,Assumptions!$C$62/(Assumptions!$C$75*12),0),0)</f>
        <v>357.142857142857</v>
      </c>
      <c r="AX33" s="14" t="n">
        <f aca="false">IF(Assumptions!$C$75&gt;0,IF(AX4&lt;=Assumptions!$C$75*12,Assumptions!$C$62/(Assumptions!$C$75*12),0),0)</f>
        <v>357.142857142857</v>
      </c>
      <c r="AY33" s="14" t="n">
        <f aca="false">IF(Assumptions!$C$75&gt;0,IF(AY4&lt;=Assumptions!$C$75*12,Assumptions!$C$62/(Assumptions!$C$75*12),0),0)</f>
        <v>357.142857142857</v>
      </c>
      <c r="AZ33" s="14" t="n">
        <f aca="false">IF(Assumptions!$C$75&gt;0,IF(AZ4&lt;=Assumptions!$C$75*12,Assumptions!$C$62/(Assumptions!$C$75*12),0),0)</f>
        <v>357.142857142857</v>
      </c>
      <c r="BA33" s="14" t="n">
        <f aca="false">IF(Assumptions!$C$75&gt;0,IF(BA4&lt;=Assumptions!$C$75*12,Assumptions!$C$62/(Assumptions!$C$75*12),0),0)</f>
        <v>357.142857142857</v>
      </c>
      <c r="BB33" s="14" t="n">
        <f aca="false">IF(Assumptions!$C$75&gt;0,IF(BB4&lt;=Assumptions!$C$75*12,Assumptions!$C$62/(Assumptions!$C$75*12),0),0)</f>
        <v>357.142857142857</v>
      </c>
      <c r="BC33" s="14" t="n">
        <f aca="false">IF(Assumptions!$C$75&gt;0,IF(BC4&lt;=Assumptions!$C$75*12,Assumptions!$C$62/(Assumptions!$C$75*12),0),0)</f>
        <v>357.142857142857</v>
      </c>
      <c r="BD33" s="14" t="n">
        <f aca="false">IF(Assumptions!$C$75&gt;0,IF(BD4&lt;=Assumptions!$C$75*12,Assumptions!$C$62/(Assumptions!$C$75*12),0),0)</f>
        <v>357.142857142857</v>
      </c>
      <c r="BE33" s="14" t="n">
        <f aca="false">IF(Assumptions!$C$75&gt;0,IF(BE4&lt;=Assumptions!$C$75*12,Assumptions!$C$62/(Assumptions!$C$75*12),0),0)</f>
        <v>357.142857142857</v>
      </c>
      <c r="BF33" s="14" t="n">
        <f aca="false">IF(Assumptions!$C$75&gt;0,IF(BF4&lt;=Assumptions!$C$75*12,Assumptions!$C$62/(Assumptions!$C$75*12),0),0)</f>
        <v>357.142857142857</v>
      </c>
      <c r="BG33" s="14" t="n">
        <f aca="false">IF(Assumptions!$C$75&gt;0,IF(BG4&lt;=Assumptions!$C$75*12,Assumptions!$C$62/(Assumptions!$C$75*12),0),0)</f>
        <v>357.142857142857</v>
      </c>
      <c r="BH33" s="14" t="n">
        <f aca="false">IF(Assumptions!$C$75&gt;0,IF(BH4&lt;=Assumptions!$C$75*12,Assumptions!$C$62/(Assumptions!$C$75*12),0),0)</f>
        <v>357.142857142857</v>
      </c>
      <c r="BI33" s="14" t="n">
        <f aca="false">IF(Assumptions!$C$75&gt;0,IF(BI4&lt;=Assumptions!$C$75*12,Assumptions!$C$62/(Assumptions!$C$75*12),0),0)</f>
        <v>357.142857142857</v>
      </c>
      <c r="BJ33" s="14" t="n">
        <f aca="false">IF(Assumptions!$C$75&gt;0,IF(BJ4&lt;=Assumptions!$C$75*12,Assumptions!$C$62/(Assumptions!$C$75*12),0),0)</f>
        <v>357.142857142857</v>
      </c>
      <c r="BK33" s="43" t="n">
        <f aca="false">SUMIF($C$5:$BJ$5,BK$5,$C33:$BJ33)</f>
        <v>4285.71428571429</v>
      </c>
      <c r="BL33" s="43" t="n">
        <f aca="false">SUMIF($C$5:$BJ$5,BL$5,$C33:$BJ33)</f>
        <v>4285.71428571429</v>
      </c>
      <c r="BM33" s="43" t="n">
        <f aca="false">SUMIF($C$5:$BJ$5,BM$5,$C33:$BJ33)</f>
        <v>4285.71428571429</v>
      </c>
      <c r="BN33" s="43" t="n">
        <f aca="false">SUMIF($C$5:$BJ$5,BN$5,$C33:$BJ33)</f>
        <v>4285.71428571429</v>
      </c>
      <c r="BO33" s="43" t="n">
        <f aca="false">SUMIF($C$5:$BJ$5,BO$5,$C33:$BJ33)</f>
        <v>4285.71428571429</v>
      </c>
    </row>
    <row r="34" customFormat="false" ht="15" hidden="false" customHeight="false" outlineLevel="0" collapsed="false">
      <c r="A34" s="18" t="s">
        <v>150</v>
      </c>
      <c r="B34" s="2"/>
      <c r="C34" s="14" t="n">
        <f aca="false">IF(Assumptions!$C$76&gt;0,IF(C4&lt;=Assumptions!$C$76*12,Assumptions!$C$63/(Assumptions!$C$76*12),0),0)</f>
        <v>95.2380952380952</v>
      </c>
      <c r="D34" s="14" t="n">
        <f aca="false">IF(Assumptions!$C$76&gt;0,IF(D4&lt;=Assumptions!$C$76*12,Assumptions!$C$63/(Assumptions!$C$76*12),0),0)</f>
        <v>95.2380952380952</v>
      </c>
      <c r="E34" s="14" t="n">
        <f aca="false">IF(Assumptions!$C$76&gt;0,IF(E4&lt;=Assumptions!$C$76*12,Assumptions!$C$63/(Assumptions!$C$76*12),0),0)</f>
        <v>95.2380952380952</v>
      </c>
      <c r="F34" s="14" t="n">
        <f aca="false">IF(Assumptions!$C$76&gt;0,IF(F4&lt;=Assumptions!$C$76*12,Assumptions!$C$63/(Assumptions!$C$76*12),0),0)</f>
        <v>95.2380952380952</v>
      </c>
      <c r="G34" s="14" t="n">
        <f aca="false">IF(Assumptions!$C$76&gt;0,IF(G4&lt;=Assumptions!$C$76*12,Assumptions!$C$63/(Assumptions!$C$76*12),0),0)</f>
        <v>95.2380952380952</v>
      </c>
      <c r="H34" s="14" t="n">
        <f aca="false">IF(Assumptions!$C$76&gt;0,IF(H4&lt;=Assumptions!$C$76*12,Assumptions!$C$63/(Assumptions!$C$76*12),0),0)</f>
        <v>95.2380952380952</v>
      </c>
      <c r="I34" s="14" t="n">
        <f aca="false">IF(Assumptions!$C$76&gt;0,IF(I4&lt;=Assumptions!$C$76*12,Assumptions!$C$63/(Assumptions!$C$76*12),0),0)</f>
        <v>95.2380952380952</v>
      </c>
      <c r="J34" s="14" t="n">
        <f aca="false">IF(Assumptions!$C$76&gt;0,IF(J4&lt;=Assumptions!$C$76*12,Assumptions!$C$63/(Assumptions!$C$76*12),0),0)</f>
        <v>95.2380952380952</v>
      </c>
      <c r="K34" s="14" t="n">
        <f aca="false">IF(Assumptions!$C$76&gt;0,IF(K4&lt;=Assumptions!$C$76*12,Assumptions!$C$63/(Assumptions!$C$76*12),0),0)</f>
        <v>95.2380952380952</v>
      </c>
      <c r="L34" s="14" t="n">
        <f aca="false">IF(Assumptions!$C$76&gt;0,IF(L4&lt;=Assumptions!$C$76*12,Assumptions!$C$63/(Assumptions!$C$76*12),0),0)</f>
        <v>95.2380952380952</v>
      </c>
      <c r="M34" s="14" t="n">
        <f aca="false">IF(Assumptions!$C$76&gt;0,IF(M4&lt;=Assumptions!$C$76*12,Assumptions!$C$63/(Assumptions!$C$76*12),0),0)</f>
        <v>95.2380952380952</v>
      </c>
      <c r="N34" s="14" t="n">
        <f aca="false">IF(Assumptions!$C$76&gt;0,IF(N4&lt;=Assumptions!$C$76*12,Assumptions!$C$63/(Assumptions!$C$76*12),0),0)</f>
        <v>95.2380952380952</v>
      </c>
      <c r="O34" s="14" t="n">
        <f aca="false">IF(Assumptions!$C$76&gt;0,IF(O4&lt;=Assumptions!$C$76*12,Assumptions!$C$63/(Assumptions!$C$76*12),0),0)</f>
        <v>95.2380952380952</v>
      </c>
      <c r="P34" s="14" t="n">
        <f aca="false">IF(Assumptions!$C$76&gt;0,IF(P4&lt;=Assumptions!$C$76*12,Assumptions!$C$63/(Assumptions!$C$76*12),0),0)</f>
        <v>95.2380952380952</v>
      </c>
      <c r="Q34" s="14" t="n">
        <f aca="false">IF(Assumptions!$C$76&gt;0,IF(Q4&lt;=Assumptions!$C$76*12,Assumptions!$C$63/(Assumptions!$C$76*12),0),0)</f>
        <v>95.2380952380952</v>
      </c>
      <c r="R34" s="14" t="n">
        <f aca="false">IF(Assumptions!$C$76&gt;0,IF(R4&lt;=Assumptions!$C$76*12,Assumptions!$C$63/(Assumptions!$C$76*12),0),0)</f>
        <v>95.2380952380952</v>
      </c>
      <c r="S34" s="14" t="n">
        <f aca="false">IF(Assumptions!$C$76&gt;0,IF(S4&lt;=Assumptions!$C$76*12,Assumptions!$C$63/(Assumptions!$C$76*12),0),0)</f>
        <v>95.2380952380952</v>
      </c>
      <c r="T34" s="14" t="n">
        <f aca="false">IF(Assumptions!$C$76&gt;0,IF(T4&lt;=Assumptions!$C$76*12,Assumptions!$C$63/(Assumptions!$C$76*12),0),0)</f>
        <v>95.2380952380952</v>
      </c>
      <c r="U34" s="14" t="n">
        <f aca="false">IF(Assumptions!$C$76&gt;0,IF(U4&lt;=Assumptions!$C$76*12,Assumptions!$C$63/(Assumptions!$C$76*12),0),0)</f>
        <v>95.2380952380952</v>
      </c>
      <c r="V34" s="14" t="n">
        <f aca="false">IF(Assumptions!$C$76&gt;0,IF(V4&lt;=Assumptions!$C$76*12,Assumptions!$C$63/(Assumptions!$C$76*12),0),0)</f>
        <v>95.2380952380952</v>
      </c>
      <c r="W34" s="14" t="n">
        <f aca="false">IF(Assumptions!$C$76&gt;0,IF(W4&lt;=Assumptions!$C$76*12,Assumptions!$C$63/(Assumptions!$C$76*12),0),0)</f>
        <v>95.2380952380952</v>
      </c>
      <c r="X34" s="14" t="n">
        <f aca="false">IF(Assumptions!$C$76&gt;0,IF(X4&lt;=Assumptions!$C$76*12,Assumptions!$C$63/(Assumptions!$C$76*12),0),0)</f>
        <v>95.2380952380952</v>
      </c>
      <c r="Y34" s="14" t="n">
        <f aca="false">IF(Assumptions!$C$76&gt;0,IF(Y4&lt;=Assumptions!$C$76*12,Assumptions!$C$63/(Assumptions!$C$76*12),0),0)</f>
        <v>95.2380952380952</v>
      </c>
      <c r="Z34" s="14" t="n">
        <f aca="false">IF(Assumptions!$C$76&gt;0,IF(Z4&lt;=Assumptions!$C$76*12,Assumptions!$C$63/(Assumptions!$C$76*12),0),0)</f>
        <v>95.2380952380952</v>
      </c>
      <c r="AA34" s="14" t="n">
        <f aca="false">IF(Assumptions!$C$76&gt;0,IF(AA4&lt;=Assumptions!$C$76*12,Assumptions!$C$63/(Assumptions!$C$76*12),0),0)</f>
        <v>95.2380952380952</v>
      </c>
      <c r="AB34" s="14" t="n">
        <f aca="false">IF(Assumptions!$C$76&gt;0,IF(AB4&lt;=Assumptions!$C$76*12,Assumptions!$C$63/(Assumptions!$C$76*12),0),0)</f>
        <v>95.2380952380952</v>
      </c>
      <c r="AC34" s="14" t="n">
        <f aca="false">IF(Assumptions!$C$76&gt;0,IF(AC4&lt;=Assumptions!$C$76*12,Assumptions!$C$63/(Assumptions!$C$76*12),0),0)</f>
        <v>95.2380952380952</v>
      </c>
      <c r="AD34" s="14" t="n">
        <f aca="false">IF(Assumptions!$C$76&gt;0,IF(AD4&lt;=Assumptions!$C$76*12,Assumptions!$C$63/(Assumptions!$C$76*12),0),0)</f>
        <v>95.2380952380952</v>
      </c>
      <c r="AE34" s="14" t="n">
        <f aca="false">IF(Assumptions!$C$76&gt;0,IF(AE4&lt;=Assumptions!$C$76*12,Assumptions!$C$63/(Assumptions!$C$76*12),0),0)</f>
        <v>95.2380952380952</v>
      </c>
      <c r="AF34" s="14" t="n">
        <f aca="false">IF(Assumptions!$C$76&gt;0,IF(AF4&lt;=Assumptions!$C$76*12,Assumptions!$C$63/(Assumptions!$C$76*12),0),0)</f>
        <v>95.2380952380952</v>
      </c>
      <c r="AG34" s="14" t="n">
        <f aca="false">IF(Assumptions!$C$76&gt;0,IF(AG4&lt;=Assumptions!$C$76*12,Assumptions!$C$63/(Assumptions!$C$76*12),0),0)</f>
        <v>95.2380952380952</v>
      </c>
      <c r="AH34" s="14" t="n">
        <f aca="false">IF(Assumptions!$C$76&gt;0,IF(AH4&lt;=Assumptions!$C$76*12,Assumptions!$C$63/(Assumptions!$C$76*12),0),0)</f>
        <v>95.2380952380952</v>
      </c>
      <c r="AI34" s="14" t="n">
        <f aca="false">IF(Assumptions!$C$76&gt;0,IF(AI4&lt;=Assumptions!$C$76*12,Assumptions!$C$63/(Assumptions!$C$76*12),0),0)</f>
        <v>95.2380952380952</v>
      </c>
      <c r="AJ34" s="14" t="n">
        <f aca="false">IF(Assumptions!$C$76&gt;0,IF(AJ4&lt;=Assumptions!$C$76*12,Assumptions!$C$63/(Assumptions!$C$76*12),0),0)</f>
        <v>95.2380952380952</v>
      </c>
      <c r="AK34" s="14" t="n">
        <f aca="false">IF(Assumptions!$C$76&gt;0,IF(AK4&lt;=Assumptions!$C$76*12,Assumptions!$C$63/(Assumptions!$C$76*12),0),0)</f>
        <v>95.2380952380952</v>
      </c>
      <c r="AL34" s="14" t="n">
        <f aca="false">IF(Assumptions!$C$76&gt;0,IF(AL4&lt;=Assumptions!$C$76*12,Assumptions!$C$63/(Assumptions!$C$76*12),0),0)</f>
        <v>95.2380952380952</v>
      </c>
      <c r="AM34" s="14" t="n">
        <f aca="false">IF(Assumptions!$C$76&gt;0,IF(AM4&lt;=Assumptions!$C$76*12,Assumptions!$C$63/(Assumptions!$C$76*12),0),0)</f>
        <v>95.2380952380952</v>
      </c>
      <c r="AN34" s="14" t="n">
        <f aca="false">IF(Assumptions!$C$76&gt;0,IF(AN4&lt;=Assumptions!$C$76*12,Assumptions!$C$63/(Assumptions!$C$76*12),0),0)</f>
        <v>95.2380952380952</v>
      </c>
      <c r="AO34" s="14" t="n">
        <f aca="false">IF(Assumptions!$C$76&gt;0,IF(AO4&lt;=Assumptions!$C$76*12,Assumptions!$C$63/(Assumptions!$C$76*12),0),0)</f>
        <v>95.2380952380952</v>
      </c>
      <c r="AP34" s="14" t="n">
        <f aca="false">IF(Assumptions!$C$76&gt;0,IF(AP4&lt;=Assumptions!$C$76*12,Assumptions!$C$63/(Assumptions!$C$76*12),0),0)</f>
        <v>95.2380952380952</v>
      </c>
      <c r="AQ34" s="14" t="n">
        <f aca="false">IF(Assumptions!$C$76&gt;0,IF(AQ4&lt;=Assumptions!$C$76*12,Assumptions!$C$63/(Assumptions!$C$76*12),0),0)</f>
        <v>95.2380952380952</v>
      </c>
      <c r="AR34" s="14" t="n">
        <f aca="false">IF(Assumptions!$C$76&gt;0,IF(AR4&lt;=Assumptions!$C$76*12,Assumptions!$C$63/(Assumptions!$C$76*12),0),0)</f>
        <v>95.2380952380952</v>
      </c>
      <c r="AS34" s="14" t="n">
        <f aca="false">IF(Assumptions!$C$76&gt;0,IF(AS4&lt;=Assumptions!$C$76*12,Assumptions!$C$63/(Assumptions!$C$76*12),0),0)</f>
        <v>95.2380952380952</v>
      </c>
      <c r="AT34" s="14" t="n">
        <f aca="false">IF(Assumptions!$C$76&gt;0,IF(AT4&lt;=Assumptions!$C$76*12,Assumptions!$C$63/(Assumptions!$C$76*12),0),0)</f>
        <v>95.2380952380952</v>
      </c>
      <c r="AU34" s="14" t="n">
        <f aca="false">IF(Assumptions!$C$76&gt;0,IF(AU4&lt;=Assumptions!$C$76*12,Assumptions!$C$63/(Assumptions!$C$76*12),0),0)</f>
        <v>95.2380952380952</v>
      </c>
      <c r="AV34" s="14" t="n">
        <f aca="false">IF(Assumptions!$C$76&gt;0,IF(AV4&lt;=Assumptions!$C$76*12,Assumptions!$C$63/(Assumptions!$C$76*12),0),0)</f>
        <v>95.2380952380952</v>
      </c>
      <c r="AW34" s="14" t="n">
        <f aca="false">IF(Assumptions!$C$76&gt;0,IF(AW4&lt;=Assumptions!$C$76*12,Assumptions!$C$63/(Assumptions!$C$76*12),0),0)</f>
        <v>95.2380952380952</v>
      </c>
      <c r="AX34" s="14" t="n">
        <f aca="false">IF(Assumptions!$C$76&gt;0,IF(AX4&lt;=Assumptions!$C$76*12,Assumptions!$C$63/(Assumptions!$C$76*12),0),0)</f>
        <v>95.2380952380952</v>
      </c>
      <c r="AY34" s="14" t="n">
        <f aca="false">IF(Assumptions!$C$76&gt;0,IF(AY4&lt;=Assumptions!$C$76*12,Assumptions!$C$63/(Assumptions!$C$76*12),0),0)</f>
        <v>95.2380952380952</v>
      </c>
      <c r="AZ34" s="14" t="n">
        <f aca="false">IF(Assumptions!$C$76&gt;0,IF(AZ4&lt;=Assumptions!$C$76*12,Assumptions!$C$63/(Assumptions!$C$76*12),0),0)</f>
        <v>95.2380952380952</v>
      </c>
      <c r="BA34" s="14" t="n">
        <f aca="false">IF(Assumptions!$C$76&gt;0,IF(BA4&lt;=Assumptions!$C$76*12,Assumptions!$C$63/(Assumptions!$C$76*12),0),0)</f>
        <v>95.2380952380952</v>
      </c>
      <c r="BB34" s="14" t="n">
        <f aca="false">IF(Assumptions!$C$76&gt;0,IF(BB4&lt;=Assumptions!$C$76*12,Assumptions!$C$63/(Assumptions!$C$76*12),0),0)</f>
        <v>95.2380952380952</v>
      </c>
      <c r="BC34" s="14" t="n">
        <f aca="false">IF(Assumptions!$C$76&gt;0,IF(BC4&lt;=Assumptions!$C$76*12,Assumptions!$C$63/(Assumptions!$C$76*12),0),0)</f>
        <v>95.2380952380952</v>
      </c>
      <c r="BD34" s="14" t="n">
        <f aca="false">IF(Assumptions!$C$76&gt;0,IF(BD4&lt;=Assumptions!$C$76*12,Assumptions!$C$63/(Assumptions!$C$76*12),0),0)</f>
        <v>95.2380952380952</v>
      </c>
      <c r="BE34" s="14" t="n">
        <f aca="false">IF(Assumptions!$C$76&gt;0,IF(BE4&lt;=Assumptions!$C$76*12,Assumptions!$C$63/(Assumptions!$C$76*12),0),0)</f>
        <v>95.2380952380952</v>
      </c>
      <c r="BF34" s="14" t="n">
        <f aca="false">IF(Assumptions!$C$76&gt;0,IF(BF4&lt;=Assumptions!$C$76*12,Assumptions!$C$63/(Assumptions!$C$76*12),0),0)</f>
        <v>95.2380952380952</v>
      </c>
      <c r="BG34" s="14" t="n">
        <f aca="false">IF(Assumptions!$C$76&gt;0,IF(BG4&lt;=Assumptions!$C$76*12,Assumptions!$C$63/(Assumptions!$C$76*12),0),0)</f>
        <v>95.2380952380952</v>
      </c>
      <c r="BH34" s="14" t="n">
        <f aca="false">IF(Assumptions!$C$76&gt;0,IF(BH4&lt;=Assumptions!$C$76*12,Assumptions!$C$63/(Assumptions!$C$76*12),0),0)</f>
        <v>95.2380952380952</v>
      </c>
      <c r="BI34" s="14" t="n">
        <f aca="false">IF(Assumptions!$C$76&gt;0,IF(BI4&lt;=Assumptions!$C$76*12,Assumptions!$C$63/(Assumptions!$C$76*12),0),0)</f>
        <v>95.2380952380952</v>
      </c>
      <c r="BJ34" s="14" t="n">
        <f aca="false">IF(Assumptions!$C$76&gt;0,IF(BJ4&lt;=Assumptions!$C$76*12,Assumptions!$C$63/(Assumptions!$C$76*12),0),0)</f>
        <v>95.2380952380952</v>
      </c>
      <c r="BK34" s="43" t="n">
        <f aca="false">SUMIF($C$5:$BJ$5,BK$5,$C34:$BJ34)</f>
        <v>1142.85714285714</v>
      </c>
      <c r="BL34" s="43" t="n">
        <f aca="false">SUMIF($C$5:$BJ$5,BL$5,$C34:$BJ34)</f>
        <v>1142.85714285714</v>
      </c>
      <c r="BM34" s="43" t="n">
        <f aca="false">SUMIF($C$5:$BJ$5,BM$5,$C34:$BJ34)</f>
        <v>1142.85714285714</v>
      </c>
      <c r="BN34" s="43" t="n">
        <f aca="false">SUMIF($C$5:$BJ$5,BN$5,$C34:$BJ34)</f>
        <v>1142.85714285714</v>
      </c>
      <c r="BO34" s="43" t="n">
        <f aca="false">SUMIF($C$5:$BJ$5,BO$5,$C34:$BJ34)</f>
        <v>1142.85714285714</v>
      </c>
    </row>
    <row r="35" customFormat="false" ht="15" hidden="false" customHeight="false" outlineLevel="0" collapsed="false">
      <c r="A35" s="18" t="s">
        <v>151</v>
      </c>
      <c r="B35" s="2"/>
      <c r="C35" s="14" t="n">
        <f aca="false">IF(Assumptions!$C$77&gt;0,IF(C4&lt;=Assumptions!$C$77*12,Assumptions!$C$64/(Assumptions!$C$77*12),0),0)</f>
        <v>125</v>
      </c>
      <c r="D35" s="14" t="n">
        <f aca="false">IF(Assumptions!$C$77&gt;0,IF(D4&lt;=Assumptions!$C$77*12,Assumptions!$C$64/(Assumptions!$C$77*12),0),0)</f>
        <v>125</v>
      </c>
      <c r="E35" s="14" t="n">
        <f aca="false">IF(Assumptions!$C$77&gt;0,IF(E4&lt;=Assumptions!$C$77*12,Assumptions!$C$64/(Assumptions!$C$77*12),0),0)</f>
        <v>125</v>
      </c>
      <c r="F35" s="14" t="n">
        <f aca="false">IF(Assumptions!$C$77&gt;0,IF(F4&lt;=Assumptions!$C$77*12,Assumptions!$C$64/(Assumptions!$C$77*12),0),0)</f>
        <v>125</v>
      </c>
      <c r="G35" s="14" t="n">
        <f aca="false">IF(Assumptions!$C$77&gt;0,IF(G4&lt;=Assumptions!$C$77*12,Assumptions!$C$64/(Assumptions!$C$77*12),0),0)</f>
        <v>125</v>
      </c>
      <c r="H35" s="14" t="n">
        <f aca="false">IF(Assumptions!$C$77&gt;0,IF(H4&lt;=Assumptions!$C$77*12,Assumptions!$C$64/(Assumptions!$C$77*12),0),0)</f>
        <v>125</v>
      </c>
      <c r="I35" s="14" t="n">
        <f aca="false">IF(Assumptions!$C$77&gt;0,IF(I4&lt;=Assumptions!$C$77*12,Assumptions!$C$64/(Assumptions!$C$77*12),0),0)</f>
        <v>125</v>
      </c>
      <c r="J35" s="14" t="n">
        <f aca="false">IF(Assumptions!$C$77&gt;0,IF(J4&lt;=Assumptions!$C$77*12,Assumptions!$C$64/(Assumptions!$C$77*12),0),0)</f>
        <v>125</v>
      </c>
      <c r="K35" s="14" t="n">
        <f aca="false">IF(Assumptions!$C$77&gt;0,IF(K4&lt;=Assumptions!$C$77*12,Assumptions!$C$64/(Assumptions!$C$77*12),0),0)</f>
        <v>125</v>
      </c>
      <c r="L35" s="14" t="n">
        <f aca="false">IF(Assumptions!$C$77&gt;0,IF(L4&lt;=Assumptions!$C$77*12,Assumptions!$C$64/(Assumptions!$C$77*12),0),0)</f>
        <v>125</v>
      </c>
      <c r="M35" s="14" t="n">
        <f aca="false">IF(Assumptions!$C$77&gt;0,IF(M4&lt;=Assumptions!$C$77*12,Assumptions!$C$64/(Assumptions!$C$77*12),0),0)</f>
        <v>125</v>
      </c>
      <c r="N35" s="14" t="n">
        <f aca="false">IF(Assumptions!$C$77&gt;0,IF(N4&lt;=Assumptions!$C$77*12,Assumptions!$C$64/(Assumptions!$C$77*12),0),0)</f>
        <v>125</v>
      </c>
      <c r="O35" s="14" t="n">
        <f aca="false">IF(Assumptions!$C$77&gt;0,IF(O4&lt;=Assumptions!$C$77*12,Assumptions!$C$64/(Assumptions!$C$77*12),0),0)</f>
        <v>125</v>
      </c>
      <c r="P35" s="14" t="n">
        <f aca="false">IF(Assumptions!$C$77&gt;0,IF(P4&lt;=Assumptions!$C$77*12,Assumptions!$C$64/(Assumptions!$C$77*12),0),0)</f>
        <v>125</v>
      </c>
      <c r="Q35" s="14" t="n">
        <f aca="false">IF(Assumptions!$C$77&gt;0,IF(Q4&lt;=Assumptions!$C$77*12,Assumptions!$C$64/(Assumptions!$C$77*12),0),0)</f>
        <v>125</v>
      </c>
      <c r="R35" s="14" t="n">
        <f aca="false">IF(Assumptions!$C$77&gt;0,IF(R4&lt;=Assumptions!$C$77*12,Assumptions!$C$64/(Assumptions!$C$77*12),0),0)</f>
        <v>125</v>
      </c>
      <c r="S35" s="14" t="n">
        <f aca="false">IF(Assumptions!$C$77&gt;0,IF(S4&lt;=Assumptions!$C$77*12,Assumptions!$C$64/(Assumptions!$C$77*12),0),0)</f>
        <v>125</v>
      </c>
      <c r="T35" s="14" t="n">
        <f aca="false">IF(Assumptions!$C$77&gt;0,IF(T4&lt;=Assumptions!$C$77*12,Assumptions!$C$64/(Assumptions!$C$77*12),0),0)</f>
        <v>125</v>
      </c>
      <c r="U35" s="14" t="n">
        <f aca="false">IF(Assumptions!$C$77&gt;0,IF(U4&lt;=Assumptions!$C$77*12,Assumptions!$C$64/(Assumptions!$C$77*12),0),0)</f>
        <v>125</v>
      </c>
      <c r="V35" s="14" t="n">
        <f aca="false">IF(Assumptions!$C$77&gt;0,IF(V4&lt;=Assumptions!$C$77*12,Assumptions!$C$64/(Assumptions!$C$77*12),0),0)</f>
        <v>125</v>
      </c>
      <c r="W35" s="14" t="n">
        <f aca="false">IF(Assumptions!$C$77&gt;0,IF(W4&lt;=Assumptions!$C$77*12,Assumptions!$C$64/(Assumptions!$C$77*12),0),0)</f>
        <v>125</v>
      </c>
      <c r="X35" s="14" t="n">
        <f aca="false">IF(Assumptions!$C$77&gt;0,IF(X4&lt;=Assumptions!$C$77*12,Assumptions!$C$64/(Assumptions!$C$77*12),0),0)</f>
        <v>125</v>
      </c>
      <c r="Y35" s="14" t="n">
        <f aca="false">IF(Assumptions!$C$77&gt;0,IF(Y4&lt;=Assumptions!$C$77*12,Assumptions!$C$64/(Assumptions!$C$77*12),0),0)</f>
        <v>125</v>
      </c>
      <c r="Z35" s="14" t="n">
        <f aca="false">IF(Assumptions!$C$77&gt;0,IF(Z4&lt;=Assumptions!$C$77*12,Assumptions!$C$64/(Assumptions!$C$77*12),0),0)</f>
        <v>125</v>
      </c>
      <c r="AA35" s="14" t="n">
        <f aca="false">IF(Assumptions!$C$77&gt;0,IF(AA4&lt;=Assumptions!$C$77*12,Assumptions!$C$64/(Assumptions!$C$77*12),0),0)</f>
        <v>125</v>
      </c>
      <c r="AB35" s="14" t="n">
        <f aca="false">IF(Assumptions!$C$77&gt;0,IF(AB4&lt;=Assumptions!$C$77*12,Assumptions!$C$64/(Assumptions!$C$77*12),0),0)</f>
        <v>125</v>
      </c>
      <c r="AC35" s="14" t="n">
        <f aca="false">IF(Assumptions!$C$77&gt;0,IF(AC4&lt;=Assumptions!$C$77*12,Assumptions!$C$64/(Assumptions!$C$77*12),0),0)</f>
        <v>125</v>
      </c>
      <c r="AD35" s="14" t="n">
        <f aca="false">IF(Assumptions!$C$77&gt;0,IF(AD4&lt;=Assumptions!$C$77*12,Assumptions!$C$64/(Assumptions!$C$77*12),0),0)</f>
        <v>125</v>
      </c>
      <c r="AE35" s="14" t="n">
        <f aca="false">IF(Assumptions!$C$77&gt;0,IF(AE4&lt;=Assumptions!$C$77*12,Assumptions!$C$64/(Assumptions!$C$77*12),0),0)</f>
        <v>125</v>
      </c>
      <c r="AF35" s="14" t="n">
        <f aca="false">IF(Assumptions!$C$77&gt;0,IF(AF4&lt;=Assumptions!$C$77*12,Assumptions!$C$64/(Assumptions!$C$77*12),0),0)</f>
        <v>125</v>
      </c>
      <c r="AG35" s="14" t="n">
        <f aca="false">IF(Assumptions!$C$77&gt;0,IF(AG4&lt;=Assumptions!$C$77*12,Assumptions!$C$64/(Assumptions!$C$77*12),0),0)</f>
        <v>125</v>
      </c>
      <c r="AH35" s="14" t="n">
        <f aca="false">IF(Assumptions!$C$77&gt;0,IF(AH4&lt;=Assumptions!$C$77*12,Assumptions!$C$64/(Assumptions!$C$77*12),0),0)</f>
        <v>125</v>
      </c>
      <c r="AI35" s="14" t="n">
        <f aca="false">IF(Assumptions!$C$77&gt;0,IF(AI4&lt;=Assumptions!$C$77*12,Assumptions!$C$64/(Assumptions!$C$77*12),0),0)</f>
        <v>125</v>
      </c>
      <c r="AJ35" s="14" t="n">
        <f aca="false">IF(Assumptions!$C$77&gt;0,IF(AJ4&lt;=Assumptions!$C$77*12,Assumptions!$C$64/(Assumptions!$C$77*12),0),0)</f>
        <v>125</v>
      </c>
      <c r="AK35" s="14" t="n">
        <f aca="false">IF(Assumptions!$C$77&gt;0,IF(AK4&lt;=Assumptions!$C$77*12,Assumptions!$C$64/(Assumptions!$C$77*12),0),0)</f>
        <v>125</v>
      </c>
      <c r="AL35" s="14" t="n">
        <f aca="false">IF(Assumptions!$C$77&gt;0,IF(AL4&lt;=Assumptions!$C$77*12,Assumptions!$C$64/(Assumptions!$C$77*12),0),0)</f>
        <v>125</v>
      </c>
      <c r="AM35" s="14" t="n">
        <f aca="false">IF(Assumptions!$C$77&gt;0,IF(AM4&lt;=Assumptions!$C$77*12,Assumptions!$C$64/(Assumptions!$C$77*12),0),0)</f>
        <v>125</v>
      </c>
      <c r="AN35" s="14" t="n">
        <f aca="false">IF(Assumptions!$C$77&gt;0,IF(AN4&lt;=Assumptions!$C$77*12,Assumptions!$C$64/(Assumptions!$C$77*12),0),0)</f>
        <v>125</v>
      </c>
      <c r="AO35" s="14" t="n">
        <f aca="false">IF(Assumptions!$C$77&gt;0,IF(AO4&lt;=Assumptions!$C$77*12,Assumptions!$C$64/(Assumptions!$C$77*12),0),0)</f>
        <v>125</v>
      </c>
      <c r="AP35" s="14" t="n">
        <f aca="false">IF(Assumptions!$C$77&gt;0,IF(AP4&lt;=Assumptions!$C$77*12,Assumptions!$C$64/(Assumptions!$C$77*12),0),0)</f>
        <v>125</v>
      </c>
      <c r="AQ35" s="14" t="n">
        <f aca="false">IF(Assumptions!$C$77&gt;0,IF(AQ4&lt;=Assumptions!$C$77*12,Assumptions!$C$64/(Assumptions!$C$77*12),0),0)</f>
        <v>125</v>
      </c>
      <c r="AR35" s="14" t="n">
        <f aca="false">IF(Assumptions!$C$77&gt;0,IF(AR4&lt;=Assumptions!$C$77*12,Assumptions!$C$64/(Assumptions!$C$77*12),0),0)</f>
        <v>125</v>
      </c>
      <c r="AS35" s="14" t="n">
        <f aca="false">IF(Assumptions!$C$77&gt;0,IF(AS4&lt;=Assumptions!$C$77*12,Assumptions!$C$64/(Assumptions!$C$77*12),0),0)</f>
        <v>125</v>
      </c>
      <c r="AT35" s="14" t="n">
        <f aca="false">IF(Assumptions!$C$77&gt;0,IF(AT4&lt;=Assumptions!$C$77*12,Assumptions!$C$64/(Assumptions!$C$77*12),0),0)</f>
        <v>125</v>
      </c>
      <c r="AU35" s="14" t="n">
        <f aca="false">IF(Assumptions!$C$77&gt;0,IF(AU4&lt;=Assumptions!$C$77*12,Assumptions!$C$64/(Assumptions!$C$77*12),0),0)</f>
        <v>125</v>
      </c>
      <c r="AV35" s="14" t="n">
        <f aca="false">IF(Assumptions!$C$77&gt;0,IF(AV4&lt;=Assumptions!$C$77*12,Assumptions!$C$64/(Assumptions!$C$77*12),0),0)</f>
        <v>125</v>
      </c>
      <c r="AW35" s="14" t="n">
        <f aca="false">IF(Assumptions!$C$77&gt;0,IF(AW4&lt;=Assumptions!$C$77*12,Assumptions!$C$64/(Assumptions!$C$77*12),0),0)</f>
        <v>125</v>
      </c>
      <c r="AX35" s="14" t="n">
        <f aca="false">IF(Assumptions!$C$77&gt;0,IF(AX4&lt;=Assumptions!$C$77*12,Assumptions!$C$64/(Assumptions!$C$77*12),0),0)</f>
        <v>125</v>
      </c>
      <c r="AY35" s="14" t="n">
        <f aca="false">IF(Assumptions!$C$77&gt;0,IF(AY4&lt;=Assumptions!$C$77*12,Assumptions!$C$64/(Assumptions!$C$77*12),0),0)</f>
        <v>125</v>
      </c>
      <c r="AZ35" s="14" t="n">
        <f aca="false">IF(Assumptions!$C$77&gt;0,IF(AZ4&lt;=Assumptions!$C$77*12,Assumptions!$C$64/(Assumptions!$C$77*12),0),0)</f>
        <v>125</v>
      </c>
      <c r="BA35" s="14" t="n">
        <f aca="false">IF(Assumptions!$C$77&gt;0,IF(BA4&lt;=Assumptions!$C$77*12,Assumptions!$C$64/(Assumptions!$C$77*12),0),0)</f>
        <v>125</v>
      </c>
      <c r="BB35" s="14" t="n">
        <f aca="false">IF(Assumptions!$C$77&gt;0,IF(BB4&lt;=Assumptions!$C$77*12,Assumptions!$C$64/(Assumptions!$C$77*12),0),0)</f>
        <v>125</v>
      </c>
      <c r="BC35" s="14" t="n">
        <f aca="false">IF(Assumptions!$C$77&gt;0,IF(BC4&lt;=Assumptions!$C$77*12,Assumptions!$C$64/(Assumptions!$C$77*12),0),0)</f>
        <v>125</v>
      </c>
      <c r="BD35" s="14" t="n">
        <f aca="false">IF(Assumptions!$C$77&gt;0,IF(BD4&lt;=Assumptions!$C$77*12,Assumptions!$C$64/(Assumptions!$C$77*12),0),0)</f>
        <v>125</v>
      </c>
      <c r="BE35" s="14" t="n">
        <f aca="false">IF(Assumptions!$C$77&gt;0,IF(BE4&lt;=Assumptions!$C$77*12,Assumptions!$C$64/(Assumptions!$C$77*12),0),0)</f>
        <v>125</v>
      </c>
      <c r="BF35" s="14" t="n">
        <f aca="false">IF(Assumptions!$C$77&gt;0,IF(BF4&lt;=Assumptions!$C$77*12,Assumptions!$C$64/(Assumptions!$C$77*12),0),0)</f>
        <v>125</v>
      </c>
      <c r="BG35" s="14" t="n">
        <f aca="false">IF(Assumptions!$C$77&gt;0,IF(BG4&lt;=Assumptions!$C$77*12,Assumptions!$C$64/(Assumptions!$C$77*12),0),0)</f>
        <v>125</v>
      </c>
      <c r="BH35" s="14" t="n">
        <f aca="false">IF(Assumptions!$C$77&gt;0,IF(BH4&lt;=Assumptions!$C$77*12,Assumptions!$C$64/(Assumptions!$C$77*12),0),0)</f>
        <v>125</v>
      </c>
      <c r="BI35" s="14" t="n">
        <f aca="false">IF(Assumptions!$C$77&gt;0,IF(BI4&lt;=Assumptions!$C$77*12,Assumptions!$C$64/(Assumptions!$C$77*12),0),0)</f>
        <v>125</v>
      </c>
      <c r="BJ35" s="14" t="n">
        <f aca="false">IF(Assumptions!$C$77&gt;0,IF(BJ4&lt;=Assumptions!$C$77*12,Assumptions!$C$64/(Assumptions!$C$77*12),0),0)</f>
        <v>125</v>
      </c>
      <c r="BK35" s="43" t="n">
        <f aca="false">SUMIF($C$5:$BJ$5,BK$5,$C35:$BJ35)</f>
        <v>1500</v>
      </c>
      <c r="BL35" s="43" t="n">
        <f aca="false">SUMIF($C$5:$BJ$5,BL$5,$C35:$BJ35)</f>
        <v>1500</v>
      </c>
      <c r="BM35" s="43" t="n">
        <f aca="false">SUMIF($C$5:$BJ$5,BM$5,$C35:$BJ35)</f>
        <v>1500</v>
      </c>
      <c r="BN35" s="43" t="n">
        <f aca="false">SUMIF($C$5:$BJ$5,BN$5,$C35:$BJ35)</f>
        <v>1500</v>
      </c>
      <c r="BO35" s="43" t="n">
        <f aca="false">SUMIF($C$5:$BJ$5,BO$5,$C35:$BJ35)</f>
        <v>1500</v>
      </c>
    </row>
    <row r="36" customFormat="false" ht="15" hidden="false" customHeight="false" outlineLevel="0" collapsed="false">
      <c r="A36" s="18" t="s">
        <v>152</v>
      </c>
      <c r="B36" s="2"/>
      <c r="C36" s="14" t="n">
        <f aca="false">IF(Assumptions!$C$78&gt;0,IF(C4&lt;=Assumptions!$C$78*12,Assumptions!$C$65/(Assumptions!$C$78*12),0),0)</f>
        <v>583.333333333333</v>
      </c>
      <c r="D36" s="14" t="n">
        <f aca="false">IF(Assumptions!$C$78&gt;0,IF(D4&lt;=Assumptions!$C$78*12,Assumptions!$C$65/(Assumptions!$C$78*12),0),0)</f>
        <v>583.333333333333</v>
      </c>
      <c r="E36" s="14" t="n">
        <f aca="false">IF(Assumptions!$C$78&gt;0,IF(E4&lt;=Assumptions!$C$78*12,Assumptions!$C$65/(Assumptions!$C$78*12),0),0)</f>
        <v>583.333333333333</v>
      </c>
      <c r="F36" s="14" t="n">
        <f aca="false">IF(Assumptions!$C$78&gt;0,IF(F4&lt;=Assumptions!$C$78*12,Assumptions!$C$65/(Assumptions!$C$78*12),0),0)</f>
        <v>583.333333333333</v>
      </c>
      <c r="G36" s="14" t="n">
        <f aca="false">IF(Assumptions!$C$78&gt;0,IF(G4&lt;=Assumptions!$C$78*12,Assumptions!$C$65/(Assumptions!$C$78*12),0),0)</f>
        <v>583.333333333333</v>
      </c>
      <c r="H36" s="14" t="n">
        <f aca="false">IF(Assumptions!$C$78&gt;0,IF(H4&lt;=Assumptions!$C$78*12,Assumptions!$C$65/(Assumptions!$C$78*12),0),0)</f>
        <v>583.333333333333</v>
      </c>
      <c r="I36" s="14" t="n">
        <f aca="false">IF(Assumptions!$C$78&gt;0,IF(I4&lt;=Assumptions!$C$78*12,Assumptions!$C$65/(Assumptions!$C$78*12),0),0)</f>
        <v>583.333333333333</v>
      </c>
      <c r="J36" s="14" t="n">
        <f aca="false">IF(Assumptions!$C$78&gt;0,IF(J4&lt;=Assumptions!$C$78*12,Assumptions!$C$65/(Assumptions!$C$78*12),0),0)</f>
        <v>583.333333333333</v>
      </c>
      <c r="K36" s="14" t="n">
        <f aca="false">IF(Assumptions!$C$78&gt;0,IF(K4&lt;=Assumptions!$C$78*12,Assumptions!$C$65/(Assumptions!$C$78*12),0),0)</f>
        <v>583.333333333333</v>
      </c>
      <c r="L36" s="14" t="n">
        <f aca="false">IF(Assumptions!$C$78&gt;0,IF(L4&lt;=Assumptions!$C$78*12,Assumptions!$C$65/(Assumptions!$C$78*12),0),0)</f>
        <v>583.333333333333</v>
      </c>
      <c r="M36" s="14" t="n">
        <f aca="false">IF(Assumptions!$C$78&gt;0,IF(M4&lt;=Assumptions!$C$78*12,Assumptions!$C$65/(Assumptions!$C$78*12),0),0)</f>
        <v>583.333333333333</v>
      </c>
      <c r="N36" s="14" t="n">
        <f aca="false">IF(Assumptions!$C$78&gt;0,IF(N4&lt;=Assumptions!$C$78*12,Assumptions!$C$65/(Assumptions!$C$78*12),0),0)</f>
        <v>583.333333333333</v>
      </c>
      <c r="O36" s="14" t="n">
        <f aca="false">IF(Assumptions!$C$78&gt;0,IF(O4&lt;=Assumptions!$C$78*12,Assumptions!$C$65/(Assumptions!$C$78*12),0),0)</f>
        <v>583.333333333333</v>
      </c>
      <c r="P36" s="14" t="n">
        <f aca="false">IF(Assumptions!$C$78&gt;0,IF(P4&lt;=Assumptions!$C$78*12,Assumptions!$C$65/(Assumptions!$C$78*12),0),0)</f>
        <v>583.333333333333</v>
      </c>
      <c r="Q36" s="14" t="n">
        <f aca="false">IF(Assumptions!$C$78&gt;0,IF(Q4&lt;=Assumptions!$C$78*12,Assumptions!$C$65/(Assumptions!$C$78*12),0),0)</f>
        <v>583.333333333333</v>
      </c>
      <c r="R36" s="14" t="n">
        <f aca="false">IF(Assumptions!$C$78&gt;0,IF(R4&lt;=Assumptions!$C$78*12,Assumptions!$C$65/(Assumptions!$C$78*12),0),0)</f>
        <v>583.333333333333</v>
      </c>
      <c r="S36" s="14" t="n">
        <f aca="false">IF(Assumptions!$C$78&gt;0,IF(S4&lt;=Assumptions!$C$78*12,Assumptions!$C$65/(Assumptions!$C$78*12),0),0)</f>
        <v>583.333333333333</v>
      </c>
      <c r="T36" s="14" t="n">
        <f aca="false">IF(Assumptions!$C$78&gt;0,IF(T4&lt;=Assumptions!$C$78*12,Assumptions!$C$65/(Assumptions!$C$78*12),0),0)</f>
        <v>583.333333333333</v>
      </c>
      <c r="U36" s="14" t="n">
        <f aca="false">IF(Assumptions!$C$78&gt;0,IF(U4&lt;=Assumptions!$C$78*12,Assumptions!$C$65/(Assumptions!$C$78*12),0),0)</f>
        <v>583.333333333333</v>
      </c>
      <c r="V36" s="14" t="n">
        <f aca="false">IF(Assumptions!$C$78&gt;0,IF(V4&lt;=Assumptions!$C$78*12,Assumptions!$C$65/(Assumptions!$C$78*12),0),0)</f>
        <v>583.333333333333</v>
      </c>
      <c r="W36" s="14" t="n">
        <f aca="false">IF(Assumptions!$C$78&gt;0,IF(W4&lt;=Assumptions!$C$78*12,Assumptions!$C$65/(Assumptions!$C$78*12),0),0)</f>
        <v>583.333333333333</v>
      </c>
      <c r="X36" s="14" t="n">
        <f aca="false">IF(Assumptions!$C$78&gt;0,IF(X4&lt;=Assumptions!$C$78*12,Assumptions!$C$65/(Assumptions!$C$78*12),0),0)</f>
        <v>583.333333333333</v>
      </c>
      <c r="Y36" s="14" t="n">
        <f aca="false">IF(Assumptions!$C$78&gt;0,IF(Y4&lt;=Assumptions!$C$78*12,Assumptions!$C$65/(Assumptions!$C$78*12),0),0)</f>
        <v>583.333333333333</v>
      </c>
      <c r="Z36" s="14" t="n">
        <f aca="false">IF(Assumptions!$C$78&gt;0,IF(Z4&lt;=Assumptions!$C$78*12,Assumptions!$C$65/(Assumptions!$C$78*12),0),0)</f>
        <v>583.333333333333</v>
      </c>
      <c r="AA36" s="14" t="n">
        <f aca="false">IF(Assumptions!$C$78&gt;0,IF(AA4&lt;=Assumptions!$C$78*12,Assumptions!$C$65/(Assumptions!$C$78*12),0),0)</f>
        <v>583.333333333333</v>
      </c>
      <c r="AB36" s="14" t="n">
        <f aca="false">IF(Assumptions!$C$78&gt;0,IF(AB4&lt;=Assumptions!$C$78*12,Assumptions!$C$65/(Assumptions!$C$78*12),0),0)</f>
        <v>583.333333333333</v>
      </c>
      <c r="AC36" s="14" t="n">
        <f aca="false">IF(Assumptions!$C$78&gt;0,IF(AC4&lt;=Assumptions!$C$78*12,Assumptions!$C$65/(Assumptions!$C$78*12),0),0)</f>
        <v>583.333333333333</v>
      </c>
      <c r="AD36" s="14" t="n">
        <f aca="false">IF(Assumptions!$C$78&gt;0,IF(AD4&lt;=Assumptions!$C$78*12,Assumptions!$C$65/(Assumptions!$C$78*12),0),0)</f>
        <v>583.333333333333</v>
      </c>
      <c r="AE36" s="14" t="n">
        <f aca="false">IF(Assumptions!$C$78&gt;0,IF(AE4&lt;=Assumptions!$C$78*12,Assumptions!$C$65/(Assumptions!$C$78*12),0),0)</f>
        <v>583.333333333333</v>
      </c>
      <c r="AF36" s="14" t="n">
        <f aca="false">IF(Assumptions!$C$78&gt;0,IF(AF4&lt;=Assumptions!$C$78*12,Assumptions!$C$65/(Assumptions!$C$78*12),0),0)</f>
        <v>583.333333333333</v>
      </c>
      <c r="AG36" s="14" t="n">
        <f aca="false">IF(Assumptions!$C$78&gt;0,IF(AG4&lt;=Assumptions!$C$78*12,Assumptions!$C$65/(Assumptions!$C$78*12),0),0)</f>
        <v>583.333333333333</v>
      </c>
      <c r="AH36" s="14" t="n">
        <f aca="false">IF(Assumptions!$C$78&gt;0,IF(AH4&lt;=Assumptions!$C$78*12,Assumptions!$C$65/(Assumptions!$C$78*12),0),0)</f>
        <v>583.333333333333</v>
      </c>
      <c r="AI36" s="14" t="n">
        <f aca="false">IF(Assumptions!$C$78&gt;0,IF(AI4&lt;=Assumptions!$C$78*12,Assumptions!$C$65/(Assumptions!$C$78*12),0),0)</f>
        <v>583.333333333333</v>
      </c>
      <c r="AJ36" s="14" t="n">
        <f aca="false">IF(Assumptions!$C$78&gt;0,IF(AJ4&lt;=Assumptions!$C$78*12,Assumptions!$C$65/(Assumptions!$C$78*12),0),0)</f>
        <v>583.333333333333</v>
      </c>
      <c r="AK36" s="14" t="n">
        <f aca="false">IF(Assumptions!$C$78&gt;0,IF(AK4&lt;=Assumptions!$C$78*12,Assumptions!$C$65/(Assumptions!$C$78*12),0),0)</f>
        <v>583.333333333333</v>
      </c>
      <c r="AL36" s="14" t="n">
        <f aca="false">IF(Assumptions!$C$78&gt;0,IF(AL4&lt;=Assumptions!$C$78*12,Assumptions!$C$65/(Assumptions!$C$78*12),0),0)</f>
        <v>583.333333333333</v>
      </c>
      <c r="AM36" s="14" t="n">
        <f aca="false">IF(Assumptions!$C$78&gt;0,IF(AM4&lt;=Assumptions!$C$78*12,Assumptions!$C$65/(Assumptions!$C$78*12),0),0)</f>
        <v>583.333333333333</v>
      </c>
      <c r="AN36" s="14" t="n">
        <f aca="false">IF(Assumptions!$C$78&gt;0,IF(AN4&lt;=Assumptions!$C$78*12,Assumptions!$C$65/(Assumptions!$C$78*12),0),0)</f>
        <v>583.333333333333</v>
      </c>
      <c r="AO36" s="14" t="n">
        <f aca="false">IF(Assumptions!$C$78&gt;0,IF(AO4&lt;=Assumptions!$C$78*12,Assumptions!$C$65/(Assumptions!$C$78*12),0),0)</f>
        <v>583.333333333333</v>
      </c>
      <c r="AP36" s="14" t="n">
        <f aca="false">IF(Assumptions!$C$78&gt;0,IF(AP4&lt;=Assumptions!$C$78*12,Assumptions!$C$65/(Assumptions!$C$78*12),0),0)</f>
        <v>583.333333333333</v>
      </c>
      <c r="AQ36" s="14" t="n">
        <f aca="false">IF(Assumptions!$C$78&gt;0,IF(AQ4&lt;=Assumptions!$C$78*12,Assumptions!$C$65/(Assumptions!$C$78*12),0),0)</f>
        <v>583.333333333333</v>
      </c>
      <c r="AR36" s="14" t="n">
        <f aca="false">IF(Assumptions!$C$78&gt;0,IF(AR4&lt;=Assumptions!$C$78*12,Assumptions!$C$65/(Assumptions!$C$78*12),0),0)</f>
        <v>583.333333333333</v>
      </c>
      <c r="AS36" s="14" t="n">
        <f aca="false">IF(Assumptions!$C$78&gt;0,IF(AS4&lt;=Assumptions!$C$78*12,Assumptions!$C$65/(Assumptions!$C$78*12),0),0)</f>
        <v>583.333333333333</v>
      </c>
      <c r="AT36" s="14" t="n">
        <f aca="false">IF(Assumptions!$C$78&gt;0,IF(AT4&lt;=Assumptions!$C$78*12,Assumptions!$C$65/(Assumptions!$C$78*12),0),0)</f>
        <v>583.333333333333</v>
      </c>
      <c r="AU36" s="14" t="n">
        <f aca="false">IF(Assumptions!$C$78&gt;0,IF(AU4&lt;=Assumptions!$C$78*12,Assumptions!$C$65/(Assumptions!$C$78*12),0),0)</f>
        <v>583.333333333333</v>
      </c>
      <c r="AV36" s="14" t="n">
        <f aca="false">IF(Assumptions!$C$78&gt;0,IF(AV4&lt;=Assumptions!$C$78*12,Assumptions!$C$65/(Assumptions!$C$78*12),0),0)</f>
        <v>583.333333333333</v>
      </c>
      <c r="AW36" s="14" t="n">
        <f aca="false">IF(Assumptions!$C$78&gt;0,IF(AW4&lt;=Assumptions!$C$78*12,Assumptions!$C$65/(Assumptions!$C$78*12),0),0)</f>
        <v>583.333333333333</v>
      </c>
      <c r="AX36" s="14" t="n">
        <f aca="false">IF(Assumptions!$C$78&gt;0,IF(AX4&lt;=Assumptions!$C$78*12,Assumptions!$C$65/(Assumptions!$C$78*12),0),0)</f>
        <v>583.333333333333</v>
      </c>
      <c r="AY36" s="14" t="n">
        <f aca="false">IF(Assumptions!$C$78&gt;0,IF(AY4&lt;=Assumptions!$C$78*12,Assumptions!$C$65/(Assumptions!$C$78*12),0),0)</f>
        <v>583.333333333333</v>
      </c>
      <c r="AZ36" s="14" t="n">
        <f aca="false">IF(Assumptions!$C$78&gt;0,IF(AZ4&lt;=Assumptions!$C$78*12,Assumptions!$C$65/(Assumptions!$C$78*12),0),0)</f>
        <v>583.333333333333</v>
      </c>
      <c r="BA36" s="14" t="n">
        <f aca="false">IF(Assumptions!$C$78&gt;0,IF(BA4&lt;=Assumptions!$C$78*12,Assumptions!$C$65/(Assumptions!$C$78*12),0),0)</f>
        <v>583.333333333333</v>
      </c>
      <c r="BB36" s="14" t="n">
        <f aca="false">IF(Assumptions!$C$78&gt;0,IF(BB4&lt;=Assumptions!$C$78*12,Assumptions!$C$65/(Assumptions!$C$78*12),0),0)</f>
        <v>583.333333333333</v>
      </c>
      <c r="BC36" s="14" t="n">
        <f aca="false">IF(Assumptions!$C$78&gt;0,IF(BC4&lt;=Assumptions!$C$78*12,Assumptions!$C$65/(Assumptions!$C$78*12),0),0)</f>
        <v>583.333333333333</v>
      </c>
      <c r="BD36" s="14" t="n">
        <f aca="false">IF(Assumptions!$C$78&gt;0,IF(BD4&lt;=Assumptions!$C$78*12,Assumptions!$C$65/(Assumptions!$C$78*12),0),0)</f>
        <v>583.333333333333</v>
      </c>
      <c r="BE36" s="14" t="n">
        <f aca="false">IF(Assumptions!$C$78&gt;0,IF(BE4&lt;=Assumptions!$C$78*12,Assumptions!$C$65/(Assumptions!$C$78*12),0),0)</f>
        <v>583.333333333333</v>
      </c>
      <c r="BF36" s="14" t="n">
        <f aca="false">IF(Assumptions!$C$78&gt;0,IF(BF4&lt;=Assumptions!$C$78*12,Assumptions!$C$65/(Assumptions!$C$78*12),0),0)</f>
        <v>583.333333333333</v>
      </c>
      <c r="BG36" s="14" t="n">
        <f aca="false">IF(Assumptions!$C$78&gt;0,IF(BG4&lt;=Assumptions!$C$78*12,Assumptions!$C$65/(Assumptions!$C$78*12),0),0)</f>
        <v>583.333333333333</v>
      </c>
      <c r="BH36" s="14" t="n">
        <f aca="false">IF(Assumptions!$C$78&gt;0,IF(BH4&lt;=Assumptions!$C$78*12,Assumptions!$C$65/(Assumptions!$C$78*12),0),0)</f>
        <v>583.333333333333</v>
      </c>
      <c r="BI36" s="14" t="n">
        <f aca="false">IF(Assumptions!$C$78&gt;0,IF(BI4&lt;=Assumptions!$C$78*12,Assumptions!$C$65/(Assumptions!$C$78*12),0),0)</f>
        <v>583.333333333333</v>
      </c>
      <c r="BJ36" s="14" t="n">
        <f aca="false">IF(Assumptions!$C$78&gt;0,IF(BJ4&lt;=Assumptions!$C$78*12,Assumptions!$C$65/(Assumptions!$C$78*12),0),0)</f>
        <v>583.333333333333</v>
      </c>
      <c r="BK36" s="43" t="n">
        <f aca="false">SUMIF($C$5:$BJ$5,BK$5,$C36:$BJ36)</f>
        <v>7000</v>
      </c>
      <c r="BL36" s="43" t="n">
        <f aca="false">SUMIF($C$5:$BJ$5,BL$5,$C36:$BJ36)</f>
        <v>7000</v>
      </c>
      <c r="BM36" s="43" t="n">
        <f aca="false">SUMIF($C$5:$BJ$5,BM$5,$C36:$BJ36)</f>
        <v>7000</v>
      </c>
      <c r="BN36" s="43" t="n">
        <f aca="false">SUMIF($C$5:$BJ$5,BN$5,$C36:$BJ36)</f>
        <v>7000</v>
      </c>
      <c r="BO36" s="43" t="n">
        <f aca="false">SUMIF($C$5:$BJ$5,BO$5,$C36:$BJ36)</f>
        <v>7000</v>
      </c>
    </row>
    <row r="37" customFormat="false" ht="15" hidden="false" customHeight="false" outlineLevel="0" collapsed="false">
      <c r="A37" s="18" t="s">
        <v>153</v>
      </c>
      <c r="B37" s="2"/>
      <c r="C37" s="14" t="n">
        <f aca="false">IF(Assumptions!$C$79&gt;0,IF(C4&lt;=Assumptions!$C$79*12,Assumptions!$C$66/(Assumptions!$C$79*12),0),0)</f>
        <v>166.666666666667</v>
      </c>
      <c r="D37" s="14" t="n">
        <f aca="false">IF(Assumptions!$C$79&gt;0,IF(D4&lt;=Assumptions!$C$79*12,Assumptions!$C$66/(Assumptions!$C$79*12),0),0)</f>
        <v>166.666666666667</v>
      </c>
      <c r="E37" s="14" t="n">
        <f aca="false">IF(Assumptions!$C$79&gt;0,IF(E4&lt;=Assumptions!$C$79*12,Assumptions!$C$66/(Assumptions!$C$79*12),0),0)</f>
        <v>166.666666666667</v>
      </c>
      <c r="F37" s="14" t="n">
        <f aca="false">IF(Assumptions!$C$79&gt;0,IF(F4&lt;=Assumptions!$C$79*12,Assumptions!$C$66/(Assumptions!$C$79*12),0),0)</f>
        <v>166.666666666667</v>
      </c>
      <c r="G37" s="14" t="n">
        <f aca="false">IF(Assumptions!$C$79&gt;0,IF(G4&lt;=Assumptions!$C$79*12,Assumptions!$C$66/(Assumptions!$C$79*12),0),0)</f>
        <v>166.666666666667</v>
      </c>
      <c r="H37" s="14" t="n">
        <f aca="false">IF(Assumptions!$C$79&gt;0,IF(H4&lt;=Assumptions!$C$79*12,Assumptions!$C$66/(Assumptions!$C$79*12),0),0)</f>
        <v>166.666666666667</v>
      </c>
      <c r="I37" s="14" t="n">
        <f aca="false">IF(Assumptions!$C$79&gt;0,IF(I4&lt;=Assumptions!$C$79*12,Assumptions!$C$66/(Assumptions!$C$79*12),0),0)</f>
        <v>166.666666666667</v>
      </c>
      <c r="J37" s="14" t="n">
        <f aca="false">IF(Assumptions!$C$79&gt;0,IF(J4&lt;=Assumptions!$C$79*12,Assumptions!$C$66/(Assumptions!$C$79*12),0),0)</f>
        <v>166.666666666667</v>
      </c>
      <c r="K37" s="14" t="n">
        <f aca="false">IF(Assumptions!$C$79&gt;0,IF(K4&lt;=Assumptions!$C$79*12,Assumptions!$C$66/(Assumptions!$C$79*12),0),0)</f>
        <v>166.666666666667</v>
      </c>
      <c r="L37" s="14" t="n">
        <f aca="false">IF(Assumptions!$C$79&gt;0,IF(L4&lt;=Assumptions!$C$79*12,Assumptions!$C$66/(Assumptions!$C$79*12),0),0)</f>
        <v>166.666666666667</v>
      </c>
      <c r="M37" s="14" t="n">
        <f aca="false">IF(Assumptions!$C$79&gt;0,IF(M4&lt;=Assumptions!$C$79*12,Assumptions!$C$66/(Assumptions!$C$79*12),0),0)</f>
        <v>166.666666666667</v>
      </c>
      <c r="N37" s="14" t="n">
        <f aca="false">IF(Assumptions!$C$79&gt;0,IF(N4&lt;=Assumptions!$C$79*12,Assumptions!$C$66/(Assumptions!$C$79*12),0),0)</f>
        <v>166.666666666667</v>
      </c>
      <c r="O37" s="14" t="n">
        <f aca="false">IF(Assumptions!$C$79&gt;0,IF(O4&lt;=Assumptions!$C$79*12,Assumptions!$C$66/(Assumptions!$C$79*12),0),0)</f>
        <v>166.666666666667</v>
      </c>
      <c r="P37" s="14" t="n">
        <f aca="false">IF(Assumptions!$C$79&gt;0,IF(P4&lt;=Assumptions!$C$79*12,Assumptions!$C$66/(Assumptions!$C$79*12),0),0)</f>
        <v>166.666666666667</v>
      </c>
      <c r="Q37" s="14" t="n">
        <f aca="false">IF(Assumptions!$C$79&gt;0,IF(Q4&lt;=Assumptions!$C$79*12,Assumptions!$C$66/(Assumptions!$C$79*12),0),0)</f>
        <v>166.666666666667</v>
      </c>
      <c r="R37" s="14" t="n">
        <f aca="false">IF(Assumptions!$C$79&gt;0,IF(R4&lt;=Assumptions!$C$79*12,Assumptions!$C$66/(Assumptions!$C$79*12),0),0)</f>
        <v>166.666666666667</v>
      </c>
      <c r="S37" s="14" t="n">
        <f aca="false">IF(Assumptions!$C$79&gt;0,IF(S4&lt;=Assumptions!$C$79*12,Assumptions!$C$66/(Assumptions!$C$79*12),0),0)</f>
        <v>166.666666666667</v>
      </c>
      <c r="T37" s="14" t="n">
        <f aca="false">IF(Assumptions!$C$79&gt;0,IF(T4&lt;=Assumptions!$C$79*12,Assumptions!$C$66/(Assumptions!$C$79*12),0),0)</f>
        <v>166.666666666667</v>
      </c>
      <c r="U37" s="14" t="n">
        <f aca="false">IF(Assumptions!$C$79&gt;0,IF(U4&lt;=Assumptions!$C$79*12,Assumptions!$C$66/(Assumptions!$C$79*12),0),0)</f>
        <v>166.666666666667</v>
      </c>
      <c r="V37" s="14" t="n">
        <f aca="false">IF(Assumptions!$C$79&gt;0,IF(V4&lt;=Assumptions!$C$79*12,Assumptions!$C$66/(Assumptions!$C$79*12),0),0)</f>
        <v>166.666666666667</v>
      </c>
      <c r="W37" s="14" t="n">
        <f aca="false">IF(Assumptions!$C$79&gt;0,IF(W4&lt;=Assumptions!$C$79*12,Assumptions!$C$66/(Assumptions!$C$79*12),0),0)</f>
        <v>166.666666666667</v>
      </c>
      <c r="X37" s="14" t="n">
        <f aca="false">IF(Assumptions!$C$79&gt;0,IF(X4&lt;=Assumptions!$C$79*12,Assumptions!$C$66/(Assumptions!$C$79*12),0),0)</f>
        <v>166.666666666667</v>
      </c>
      <c r="Y37" s="14" t="n">
        <f aca="false">IF(Assumptions!$C$79&gt;0,IF(Y4&lt;=Assumptions!$C$79*12,Assumptions!$C$66/(Assumptions!$C$79*12),0),0)</f>
        <v>166.666666666667</v>
      </c>
      <c r="Z37" s="14" t="n">
        <f aca="false">IF(Assumptions!$C$79&gt;0,IF(Z4&lt;=Assumptions!$C$79*12,Assumptions!$C$66/(Assumptions!$C$79*12),0),0)</f>
        <v>166.666666666667</v>
      </c>
      <c r="AA37" s="14" t="n">
        <f aca="false">IF(Assumptions!$C$79&gt;0,IF(AA4&lt;=Assumptions!$C$79*12,Assumptions!$C$66/(Assumptions!$C$79*12),0),0)</f>
        <v>166.666666666667</v>
      </c>
      <c r="AB37" s="14" t="n">
        <f aca="false">IF(Assumptions!$C$79&gt;0,IF(AB4&lt;=Assumptions!$C$79*12,Assumptions!$C$66/(Assumptions!$C$79*12),0),0)</f>
        <v>166.666666666667</v>
      </c>
      <c r="AC37" s="14" t="n">
        <f aca="false">IF(Assumptions!$C$79&gt;0,IF(AC4&lt;=Assumptions!$C$79*12,Assumptions!$C$66/(Assumptions!$C$79*12),0),0)</f>
        <v>166.666666666667</v>
      </c>
      <c r="AD37" s="14" t="n">
        <f aca="false">IF(Assumptions!$C$79&gt;0,IF(AD4&lt;=Assumptions!$C$79*12,Assumptions!$C$66/(Assumptions!$C$79*12),0),0)</f>
        <v>166.666666666667</v>
      </c>
      <c r="AE37" s="14" t="n">
        <f aca="false">IF(Assumptions!$C$79&gt;0,IF(AE4&lt;=Assumptions!$C$79*12,Assumptions!$C$66/(Assumptions!$C$79*12),0),0)</f>
        <v>166.666666666667</v>
      </c>
      <c r="AF37" s="14" t="n">
        <f aca="false">IF(Assumptions!$C$79&gt;0,IF(AF4&lt;=Assumptions!$C$79*12,Assumptions!$C$66/(Assumptions!$C$79*12),0),0)</f>
        <v>166.666666666667</v>
      </c>
      <c r="AG37" s="14" t="n">
        <f aca="false">IF(Assumptions!$C$79&gt;0,IF(AG4&lt;=Assumptions!$C$79*12,Assumptions!$C$66/(Assumptions!$C$79*12),0),0)</f>
        <v>166.666666666667</v>
      </c>
      <c r="AH37" s="14" t="n">
        <f aca="false">IF(Assumptions!$C$79&gt;0,IF(AH4&lt;=Assumptions!$C$79*12,Assumptions!$C$66/(Assumptions!$C$79*12),0),0)</f>
        <v>166.666666666667</v>
      </c>
      <c r="AI37" s="14" t="n">
        <f aca="false">IF(Assumptions!$C$79&gt;0,IF(AI4&lt;=Assumptions!$C$79*12,Assumptions!$C$66/(Assumptions!$C$79*12),0),0)</f>
        <v>166.666666666667</v>
      </c>
      <c r="AJ37" s="14" t="n">
        <f aca="false">IF(Assumptions!$C$79&gt;0,IF(AJ4&lt;=Assumptions!$C$79*12,Assumptions!$C$66/(Assumptions!$C$79*12),0),0)</f>
        <v>166.666666666667</v>
      </c>
      <c r="AK37" s="14" t="n">
        <f aca="false">IF(Assumptions!$C$79&gt;0,IF(AK4&lt;=Assumptions!$C$79*12,Assumptions!$C$66/(Assumptions!$C$79*12),0),0)</f>
        <v>166.666666666667</v>
      </c>
      <c r="AL37" s="14" t="n">
        <f aca="false">IF(Assumptions!$C$79&gt;0,IF(AL4&lt;=Assumptions!$C$79*12,Assumptions!$C$66/(Assumptions!$C$79*12),0),0)</f>
        <v>166.666666666667</v>
      </c>
      <c r="AM37" s="14" t="n">
        <f aca="false">IF(Assumptions!$C$79&gt;0,IF(AM4&lt;=Assumptions!$C$79*12,Assumptions!$C$66/(Assumptions!$C$79*12),0),0)</f>
        <v>0</v>
      </c>
      <c r="AN37" s="14" t="n">
        <f aca="false">IF(Assumptions!$C$79&gt;0,IF(AN4&lt;=Assumptions!$C$79*12,Assumptions!$C$66/(Assumptions!$C$79*12),0),0)</f>
        <v>0</v>
      </c>
      <c r="AO37" s="14" t="n">
        <f aca="false">IF(Assumptions!$C$79&gt;0,IF(AO4&lt;=Assumptions!$C$79*12,Assumptions!$C$66/(Assumptions!$C$79*12),0),0)</f>
        <v>0</v>
      </c>
      <c r="AP37" s="14" t="n">
        <f aca="false">IF(Assumptions!$C$79&gt;0,IF(AP4&lt;=Assumptions!$C$79*12,Assumptions!$C$66/(Assumptions!$C$79*12),0),0)</f>
        <v>0</v>
      </c>
      <c r="AQ37" s="14" t="n">
        <f aca="false">IF(Assumptions!$C$79&gt;0,IF(AQ4&lt;=Assumptions!$C$79*12,Assumptions!$C$66/(Assumptions!$C$79*12),0),0)</f>
        <v>0</v>
      </c>
      <c r="AR37" s="14" t="n">
        <f aca="false">IF(Assumptions!$C$79&gt;0,IF(AR4&lt;=Assumptions!$C$79*12,Assumptions!$C$66/(Assumptions!$C$79*12),0),0)</f>
        <v>0</v>
      </c>
      <c r="AS37" s="14" t="n">
        <f aca="false">IF(Assumptions!$C$79&gt;0,IF(AS4&lt;=Assumptions!$C$79*12,Assumptions!$C$66/(Assumptions!$C$79*12),0),0)</f>
        <v>0</v>
      </c>
      <c r="AT37" s="14" t="n">
        <f aca="false">IF(Assumptions!$C$79&gt;0,IF(AT4&lt;=Assumptions!$C$79*12,Assumptions!$C$66/(Assumptions!$C$79*12),0),0)</f>
        <v>0</v>
      </c>
      <c r="AU37" s="14" t="n">
        <f aca="false">IF(Assumptions!$C$79&gt;0,IF(AU4&lt;=Assumptions!$C$79*12,Assumptions!$C$66/(Assumptions!$C$79*12),0),0)</f>
        <v>0</v>
      </c>
      <c r="AV37" s="14" t="n">
        <f aca="false">IF(Assumptions!$C$79&gt;0,IF(AV4&lt;=Assumptions!$C$79*12,Assumptions!$C$66/(Assumptions!$C$79*12),0),0)</f>
        <v>0</v>
      </c>
      <c r="AW37" s="14" t="n">
        <f aca="false">IF(Assumptions!$C$79&gt;0,IF(AW4&lt;=Assumptions!$C$79*12,Assumptions!$C$66/(Assumptions!$C$79*12),0),0)</f>
        <v>0</v>
      </c>
      <c r="AX37" s="14" t="n">
        <f aca="false">IF(Assumptions!$C$79&gt;0,IF(AX4&lt;=Assumptions!$C$79*12,Assumptions!$C$66/(Assumptions!$C$79*12),0),0)</f>
        <v>0</v>
      </c>
      <c r="AY37" s="14" t="n">
        <f aca="false">IF(Assumptions!$C$79&gt;0,IF(AY4&lt;=Assumptions!$C$79*12,Assumptions!$C$66/(Assumptions!$C$79*12),0),0)</f>
        <v>0</v>
      </c>
      <c r="AZ37" s="14" t="n">
        <f aca="false">IF(Assumptions!$C$79&gt;0,IF(AZ4&lt;=Assumptions!$C$79*12,Assumptions!$C$66/(Assumptions!$C$79*12),0),0)</f>
        <v>0</v>
      </c>
      <c r="BA37" s="14" t="n">
        <f aca="false">IF(Assumptions!$C$79&gt;0,IF(BA4&lt;=Assumptions!$C$79*12,Assumptions!$C$66/(Assumptions!$C$79*12),0),0)</f>
        <v>0</v>
      </c>
      <c r="BB37" s="14" t="n">
        <f aca="false">IF(Assumptions!$C$79&gt;0,IF(BB4&lt;=Assumptions!$C$79*12,Assumptions!$C$66/(Assumptions!$C$79*12),0),0)</f>
        <v>0</v>
      </c>
      <c r="BC37" s="14" t="n">
        <f aca="false">IF(Assumptions!$C$79&gt;0,IF(BC4&lt;=Assumptions!$C$79*12,Assumptions!$C$66/(Assumptions!$C$79*12),0),0)</f>
        <v>0</v>
      </c>
      <c r="BD37" s="14" t="n">
        <f aca="false">IF(Assumptions!$C$79&gt;0,IF(BD4&lt;=Assumptions!$C$79*12,Assumptions!$C$66/(Assumptions!$C$79*12),0),0)</f>
        <v>0</v>
      </c>
      <c r="BE37" s="14" t="n">
        <f aca="false">IF(Assumptions!$C$79&gt;0,IF(BE4&lt;=Assumptions!$C$79*12,Assumptions!$C$66/(Assumptions!$C$79*12),0),0)</f>
        <v>0</v>
      </c>
      <c r="BF37" s="14" t="n">
        <f aca="false">IF(Assumptions!$C$79&gt;0,IF(BF4&lt;=Assumptions!$C$79*12,Assumptions!$C$66/(Assumptions!$C$79*12),0),0)</f>
        <v>0</v>
      </c>
      <c r="BG37" s="14" t="n">
        <f aca="false">IF(Assumptions!$C$79&gt;0,IF(BG4&lt;=Assumptions!$C$79*12,Assumptions!$C$66/(Assumptions!$C$79*12),0),0)</f>
        <v>0</v>
      </c>
      <c r="BH37" s="14" t="n">
        <f aca="false">IF(Assumptions!$C$79&gt;0,IF(BH4&lt;=Assumptions!$C$79*12,Assumptions!$C$66/(Assumptions!$C$79*12),0),0)</f>
        <v>0</v>
      </c>
      <c r="BI37" s="14" t="n">
        <f aca="false">IF(Assumptions!$C$79&gt;0,IF(BI4&lt;=Assumptions!$C$79*12,Assumptions!$C$66/(Assumptions!$C$79*12),0),0)</f>
        <v>0</v>
      </c>
      <c r="BJ37" s="14" t="n">
        <f aca="false">IF(Assumptions!$C$79&gt;0,IF(BJ4&lt;=Assumptions!$C$79*12,Assumptions!$C$66/(Assumptions!$C$79*12),0),0)</f>
        <v>0</v>
      </c>
      <c r="BK37" s="43" t="n">
        <f aca="false">SUMIF($C$5:$BJ$5,BK$5,$C37:$BJ37)</f>
        <v>2000</v>
      </c>
      <c r="BL37" s="43" t="n">
        <f aca="false">SUMIF($C$5:$BJ$5,BL$5,$C37:$BJ37)</f>
        <v>2000</v>
      </c>
      <c r="BM37" s="43" t="n">
        <f aca="false">SUMIF($C$5:$BJ$5,BM$5,$C37:$BJ37)</f>
        <v>2000</v>
      </c>
      <c r="BN37" s="43" t="n">
        <f aca="false">SUMIF($C$5:$BJ$5,BN$5,$C37:$BJ37)</f>
        <v>0</v>
      </c>
      <c r="BO37" s="43" t="n">
        <f aca="false">SUMIF($C$5:$BJ$5,BO$5,$C37:$BJ37)</f>
        <v>0</v>
      </c>
    </row>
    <row r="38" customFormat="false" ht="15" hidden="false" customHeight="false" outlineLevel="0" collapsed="false">
      <c r="A38" s="39" t="s">
        <v>270</v>
      </c>
      <c r="B38" s="40"/>
      <c r="C38" s="41" t="n">
        <f aca="false">SUM(C33:C37)</f>
        <v>1327.38095238095</v>
      </c>
      <c r="D38" s="41" t="n">
        <f aca="false">SUM(D33:D37)</f>
        <v>1327.38095238095</v>
      </c>
      <c r="E38" s="41" t="n">
        <f aca="false">SUM(E33:E37)</f>
        <v>1327.38095238095</v>
      </c>
      <c r="F38" s="41" t="n">
        <f aca="false">SUM(F33:F37)</f>
        <v>1327.38095238095</v>
      </c>
      <c r="G38" s="41" t="n">
        <f aca="false">SUM(G33:G37)</f>
        <v>1327.38095238095</v>
      </c>
      <c r="H38" s="41" t="n">
        <f aca="false">SUM(H33:H37)</f>
        <v>1327.38095238095</v>
      </c>
      <c r="I38" s="41" t="n">
        <f aca="false">SUM(I33:I37)</f>
        <v>1327.38095238095</v>
      </c>
      <c r="J38" s="41" t="n">
        <f aca="false">SUM(J33:J37)</f>
        <v>1327.38095238095</v>
      </c>
      <c r="K38" s="41" t="n">
        <f aca="false">SUM(K33:K37)</f>
        <v>1327.38095238095</v>
      </c>
      <c r="L38" s="41" t="n">
        <f aca="false">SUM(L33:L37)</f>
        <v>1327.38095238095</v>
      </c>
      <c r="M38" s="41" t="n">
        <f aca="false">SUM(M33:M37)</f>
        <v>1327.38095238095</v>
      </c>
      <c r="N38" s="41" t="n">
        <f aca="false">SUM(N33:N37)</f>
        <v>1327.38095238095</v>
      </c>
      <c r="O38" s="41" t="n">
        <f aca="false">SUM(O33:O37)</f>
        <v>1327.38095238095</v>
      </c>
      <c r="P38" s="41" t="n">
        <f aca="false">SUM(P33:P37)</f>
        <v>1327.38095238095</v>
      </c>
      <c r="Q38" s="41" t="n">
        <f aca="false">SUM(Q33:Q37)</f>
        <v>1327.38095238095</v>
      </c>
      <c r="R38" s="41" t="n">
        <f aca="false">SUM(R33:R37)</f>
        <v>1327.38095238095</v>
      </c>
      <c r="S38" s="41" t="n">
        <f aca="false">SUM(S33:S37)</f>
        <v>1327.38095238095</v>
      </c>
      <c r="T38" s="41" t="n">
        <f aca="false">SUM(T33:T37)</f>
        <v>1327.38095238095</v>
      </c>
      <c r="U38" s="41" t="n">
        <f aca="false">SUM(U33:U37)</f>
        <v>1327.38095238095</v>
      </c>
      <c r="V38" s="41" t="n">
        <f aca="false">SUM(V33:V37)</f>
        <v>1327.38095238095</v>
      </c>
      <c r="W38" s="41" t="n">
        <f aca="false">SUM(W33:W37)</f>
        <v>1327.38095238095</v>
      </c>
      <c r="X38" s="41" t="n">
        <f aca="false">SUM(X33:X37)</f>
        <v>1327.38095238095</v>
      </c>
      <c r="Y38" s="41" t="n">
        <f aca="false">SUM(Y33:Y37)</f>
        <v>1327.38095238095</v>
      </c>
      <c r="Z38" s="41" t="n">
        <f aca="false">SUM(Z33:Z37)</f>
        <v>1327.38095238095</v>
      </c>
      <c r="AA38" s="41" t="n">
        <f aca="false">SUM(AA33:AA37)</f>
        <v>1327.38095238095</v>
      </c>
      <c r="AB38" s="41" t="n">
        <f aca="false">SUM(AB33:AB37)</f>
        <v>1327.38095238095</v>
      </c>
      <c r="AC38" s="41" t="n">
        <f aca="false">SUM(AC33:AC37)</f>
        <v>1327.38095238095</v>
      </c>
      <c r="AD38" s="41" t="n">
        <f aca="false">SUM(AD33:AD37)</f>
        <v>1327.38095238095</v>
      </c>
      <c r="AE38" s="41" t="n">
        <f aca="false">SUM(AE33:AE37)</f>
        <v>1327.38095238095</v>
      </c>
      <c r="AF38" s="41" t="n">
        <f aca="false">SUM(AF33:AF37)</f>
        <v>1327.38095238095</v>
      </c>
      <c r="AG38" s="41" t="n">
        <f aca="false">SUM(AG33:AG37)</f>
        <v>1327.38095238095</v>
      </c>
      <c r="AH38" s="41" t="n">
        <f aca="false">SUM(AH33:AH37)</f>
        <v>1327.38095238095</v>
      </c>
      <c r="AI38" s="41" t="n">
        <f aca="false">SUM(AI33:AI37)</f>
        <v>1327.38095238095</v>
      </c>
      <c r="AJ38" s="41" t="n">
        <f aca="false">SUM(AJ33:AJ37)</f>
        <v>1327.38095238095</v>
      </c>
      <c r="AK38" s="41" t="n">
        <f aca="false">SUM(AK33:AK37)</f>
        <v>1327.38095238095</v>
      </c>
      <c r="AL38" s="41" t="n">
        <f aca="false">SUM(AL33:AL37)</f>
        <v>1327.38095238095</v>
      </c>
      <c r="AM38" s="41" t="n">
        <f aca="false">SUM(AM33:AM37)</f>
        <v>1160.71428571429</v>
      </c>
      <c r="AN38" s="41" t="n">
        <f aca="false">SUM(AN33:AN37)</f>
        <v>1160.71428571429</v>
      </c>
      <c r="AO38" s="41" t="n">
        <f aca="false">SUM(AO33:AO37)</f>
        <v>1160.71428571429</v>
      </c>
      <c r="AP38" s="41" t="n">
        <f aca="false">SUM(AP33:AP37)</f>
        <v>1160.71428571429</v>
      </c>
      <c r="AQ38" s="41" t="n">
        <f aca="false">SUM(AQ33:AQ37)</f>
        <v>1160.71428571429</v>
      </c>
      <c r="AR38" s="41" t="n">
        <f aca="false">SUM(AR33:AR37)</f>
        <v>1160.71428571429</v>
      </c>
      <c r="AS38" s="41" t="n">
        <f aca="false">SUM(AS33:AS37)</f>
        <v>1160.71428571429</v>
      </c>
      <c r="AT38" s="41" t="n">
        <f aca="false">SUM(AT33:AT37)</f>
        <v>1160.71428571429</v>
      </c>
      <c r="AU38" s="41" t="n">
        <f aca="false">SUM(AU33:AU37)</f>
        <v>1160.71428571429</v>
      </c>
      <c r="AV38" s="41" t="n">
        <f aca="false">SUM(AV33:AV37)</f>
        <v>1160.71428571429</v>
      </c>
      <c r="AW38" s="41" t="n">
        <f aca="false">SUM(AW33:AW37)</f>
        <v>1160.71428571429</v>
      </c>
      <c r="AX38" s="41" t="n">
        <f aca="false">SUM(AX33:AX37)</f>
        <v>1160.71428571429</v>
      </c>
      <c r="AY38" s="41" t="n">
        <f aca="false">SUM(AY33:AY37)</f>
        <v>1160.71428571429</v>
      </c>
      <c r="AZ38" s="41" t="n">
        <f aca="false">SUM(AZ33:AZ37)</f>
        <v>1160.71428571429</v>
      </c>
      <c r="BA38" s="41" t="n">
        <f aca="false">SUM(BA33:BA37)</f>
        <v>1160.71428571429</v>
      </c>
      <c r="BB38" s="41" t="n">
        <f aca="false">SUM(BB33:BB37)</f>
        <v>1160.71428571429</v>
      </c>
      <c r="BC38" s="41" t="n">
        <f aca="false">SUM(BC33:BC37)</f>
        <v>1160.71428571429</v>
      </c>
      <c r="BD38" s="41" t="n">
        <f aca="false">SUM(BD33:BD37)</f>
        <v>1160.71428571429</v>
      </c>
      <c r="BE38" s="41" t="n">
        <f aca="false">SUM(BE33:BE37)</f>
        <v>1160.71428571429</v>
      </c>
      <c r="BF38" s="41" t="n">
        <f aca="false">SUM(BF33:BF37)</f>
        <v>1160.71428571429</v>
      </c>
      <c r="BG38" s="41" t="n">
        <f aca="false">SUM(BG33:BG37)</f>
        <v>1160.71428571429</v>
      </c>
      <c r="BH38" s="41" t="n">
        <f aca="false">SUM(BH33:BH37)</f>
        <v>1160.71428571429</v>
      </c>
      <c r="BI38" s="41" t="n">
        <f aca="false">SUM(BI33:BI37)</f>
        <v>1160.71428571429</v>
      </c>
      <c r="BJ38" s="41" t="n">
        <f aca="false">SUM(BJ33:BJ37)</f>
        <v>1160.71428571429</v>
      </c>
      <c r="BK38" s="42" t="n">
        <f aca="false">SUMIF($C$5:$BJ$5,BK$5,$C38:$BJ38)</f>
        <v>15928.5714285714</v>
      </c>
      <c r="BL38" s="42" t="n">
        <f aca="false">SUMIF($C$5:$BJ$5,BL$5,$C38:$BJ38)</f>
        <v>15928.5714285714</v>
      </c>
      <c r="BM38" s="42" t="n">
        <f aca="false">SUMIF($C$5:$BJ$5,BM$5,$C38:$BJ38)</f>
        <v>15928.5714285714</v>
      </c>
      <c r="BN38" s="42" t="n">
        <f aca="false">SUMIF($C$5:$BJ$5,BN$5,$C38:$BJ38)</f>
        <v>13928.5714285714</v>
      </c>
      <c r="BO38" s="42" t="n">
        <f aca="false">SUMIF($C$5:$BJ$5,BO$5,$C38:$BJ38)</f>
        <v>13928.5714285714</v>
      </c>
    </row>
  </sheetData>
  <printOptions headings="false" gridLines="false" gridLinesSet="true" horizontalCentered="false" verticalCentered="false"/>
  <pageMargins left="0.75" right="0.75" top="1" bottom="1" header="0.511811023622047" footer="0.511811023622047"/>
  <pageSetup paperSize="1" scale="100" fitToWidth="6" fitToHeight="1"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O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2" min="2" style="0" width="10"/>
    <col collapsed="false" customWidth="true" hidden="false" outlineLevel="0" max="62" min="3" style="0" width="11"/>
    <col collapsed="false" customWidth="true" hidden="false" outlineLevel="0" max="67" min="63" style="0" width="13"/>
  </cols>
  <sheetData>
    <row r="1" customFormat="false" ht="17.35" hidden="false" customHeight="false" outlineLevel="0" collapsed="false">
      <c r="A1" s="1" t="s">
        <v>271</v>
      </c>
    </row>
    <row r="2" customFormat="false" ht="15" hidden="false" customHeight="false" outlineLevel="0" collapsed="false">
      <c r="A2" s="2" t="s">
        <v>272</v>
      </c>
    </row>
    <row r="4" customFormat="false" ht="15" hidden="false" customHeight="false" outlineLevel="0" collapsed="false">
      <c r="A4" s="13" t="s">
        <v>216</v>
      </c>
      <c r="C4" s="28" t="n">
        <v>1</v>
      </c>
      <c r="D4" s="28" t="n">
        <v>2</v>
      </c>
      <c r="E4" s="28" t="n">
        <v>3</v>
      </c>
      <c r="F4" s="28" t="n">
        <v>4</v>
      </c>
      <c r="G4" s="28" t="n">
        <v>5</v>
      </c>
      <c r="H4" s="28" t="n">
        <v>6</v>
      </c>
      <c r="I4" s="28" t="n">
        <v>7</v>
      </c>
      <c r="J4" s="28" t="n">
        <v>8</v>
      </c>
      <c r="K4" s="28" t="n">
        <v>9</v>
      </c>
      <c r="L4" s="28" t="n">
        <v>10</v>
      </c>
      <c r="M4" s="28" t="n">
        <v>11</v>
      </c>
      <c r="N4" s="28" t="n">
        <v>12</v>
      </c>
      <c r="O4" s="28" t="n">
        <v>13</v>
      </c>
      <c r="P4" s="28" t="n">
        <v>14</v>
      </c>
      <c r="Q4" s="28" t="n">
        <v>15</v>
      </c>
      <c r="R4" s="28" t="n">
        <v>16</v>
      </c>
      <c r="S4" s="28" t="n">
        <v>17</v>
      </c>
      <c r="T4" s="28" t="n">
        <v>18</v>
      </c>
      <c r="U4" s="28" t="n">
        <v>19</v>
      </c>
      <c r="V4" s="28" t="n">
        <v>20</v>
      </c>
      <c r="W4" s="28" t="n">
        <v>21</v>
      </c>
      <c r="X4" s="28" t="n">
        <v>22</v>
      </c>
      <c r="Y4" s="28" t="n">
        <v>23</v>
      </c>
      <c r="Z4" s="28" t="n">
        <v>24</v>
      </c>
      <c r="AA4" s="28" t="n">
        <v>25</v>
      </c>
      <c r="AB4" s="28" t="n">
        <v>26</v>
      </c>
      <c r="AC4" s="28" t="n">
        <v>27</v>
      </c>
      <c r="AD4" s="28" t="n">
        <v>28</v>
      </c>
      <c r="AE4" s="28" t="n">
        <v>29</v>
      </c>
      <c r="AF4" s="28" t="n">
        <v>30</v>
      </c>
      <c r="AG4" s="28" t="n">
        <v>31</v>
      </c>
      <c r="AH4" s="28" t="n">
        <v>32</v>
      </c>
      <c r="AI4" s="28" t="n">
        <v>33</v>
      </c>
      <c r="AJ4" s="28" t="n">
        <v>34</v>
      </c>
      <c r="AK4" s="28" t="n">
        <v>35</v>
      </c>
      <c r="AL4" s="28" t="n">
        <v>36</v>
      </c>
      <c r="AM4" s="28" t="n">
        <v>37</v>
      </c>
      <c r="AN4" s="28" t="n">
        <v>38</v>
      </c>
      <c r="AO4" s="28" t="n">
        <v>39</v>
      </c>
      <c r="AP4" s="28" t="n">
        <v>40</v>
      </c>
      <c r="AQ4" s="28" t="n">
        <v>41</v>
      </c>
      <c r="AR4" s="28" t="n">
        <v>42</v>
      </c>
      <c r="AS4" s="28" t="n">
        <v>43</v>
      </c>
      <c r="AT4" s="28" t="n">
        <v>44</v>
      </c>
      <c r="AU4" s="28" t="n">
        <v>45</v>
      </c>
      <c r="AV4" s="28" t="n">
        <v>46</v>
      </c>
      <c r="AW4" s="28" t="n">
        <v>47</v>
      </c>
      <c r="AX4" s="28" t="n">
        <v>48</v>
      </c>
      <c r="AY4" s="28" t="n">
        <v>49</v>
      </c>
      <c r="AZ4" s="28" t="n">
        <v>50</v>
      </c>
      <c r="BA4" s="28" t="n">
        <v>51</v>
      </c>
      <c r="BB4" s="28" t="n">
        <v>52</v>
      </c>
      <c r="BC4" s="28" t="n">
        <v>53</v>
      </c>
      <c r="BD4" s="28" t="n">
        <v>54</v>
      </c>
      <c r="BE4" s="28" t="n">
        <v>55</v>
      </c>
      <c r="BF4" s="28" t="n">
        <v>56</v>
      </c>
      <c r="BG4" s="28" t="n">
        <v>57</v>
      </c>
      <c r="BH4" s="28" t="n">
        <v>58</v>
      </c>
      <c r="BI4" s="28" t="n">
        <v>59</v>
      </c>
      <c r="BJ4" s="28" t="n">
        <v>60</v>
      </c>
      <c r="BK4" s="29" t="s">
        <v>217</v>
      </c>
      <c r="BL4" s="29" t="s">
        <v>217</v>
      </c>
      <c r="BM4" s="29" t="s">
        <v>217</v>
      </c>
      <c r="BN4" s="29" t="s">
        <v>217</v>
      </c>
      <c r="BO4" s="29" t="s">
        <v>217</v>
      </c>
    </row>
    <row r="5" customFormat="false" ht="15" hidden="false" customHeight="false" outlineLevel="0" collapsed="false">
      <c r="A5" s="13" t="s">
        <v>218</v>
      </c>
      <c r="C5" s="30" t="n">
        <f aca="false">INT((C4-1)/12)+1</f>
        <v>1</v>
      </c>
      <c r="D5" s="30" t="n">
        <f aca="false">INT((D4-1)/12)+1</f>
        <v>1</v>
      </c>
      <c r="E5" s="30" t="n">
        <f aca="false">INT((E4-1)/12)+1</f>
        <v>1</v>
      </c>
      <c r="F5" s="30" t="n">
        <f aca="false">INT((F4-1)/12)+1</f>
        <v>1</v>
      </c>
      <c r="G5" s="30" t="n">
        <f aca="false">INT((G4-1)/12)+1</f>
        <v>1</v>
      </c>
      <c r="H5" s="30" t="n">
        <f aca="false">INT((H4-1)/12)+1</f>
        <v>1</v>
      </c>
      <c r="I5" s="30" t="n">
        <f aca="false">INT((I4-1)/12)+1</f>
        <v>1</v>
      </c>
      <c r="J5" s="30" t="n">
        <f aca="false">INT((J4-1)/12)+1</f>
        <v>1</v>
      </c>
      <c r="K5" s="30" t="n">
        <f aca="false">INT((K4-1)/12)+1</f>
        <v>1</v>
      </c>
      <c r="L5" s="30" t="n">
        <f aca="false">INT((L4-1)/12)+1</f>
        <v>1</v>
      </c>
      <c r="M5" s="30" t="n">
        <f aca="false">INT((M4-1)/12)+1</f>
        <v>1</v>
      </c>
      <c r="N5" s="30" t="n">
        <f aca="false">INT((N4-1)/12)+1</f>
        <v>1</v>
      </c>
      <c r="O5" s="30" t="n">
        <f aca="false">INT((O4-1)/12)+1</f>
        <v>2</v>
      </c>
      <c r="P5" s="30" t="n">
        <f aca="false">INT((P4-1)/12)+1</f>
        <v>2</v>
      </c>
      <c r="Q5" s="30" t="n">
        <f aca="false">INT((Q4-1)/12)+1</f>
        <v>2</v>
      </c>
      <c r="R5" s="30" t="n">
        <f aca="false">INT((R4-1)/12)+1</f>
        <v>2</v>
      </c>
      <c r="S5" s="30" t="n">
        <f aca="false">INT((S4-1)/12)+1</f>
        <v>2</v>
      </c>
      <c r="T5" s="30" t="n">
        <f aca="false">INT((T4-1)/12)+1</f>
        <v>2</v>
      </c>
      <c r="U5" s="30" t="n">
        <f aca="false">INT((U4-1)/12)+1</f>
        <v>2</v>
      </c>
      <c r="V5" s="30" t="n">
        <f aca="false">INT((V4-1)/12)+1</f>
        <v>2</v>
      </c>
      <c r="W5" s="30" t="n">
        <f aca="false">INT((W4-1)/12)+1</f>
        <v>2</v>
      </c>
      <c r="X5" s="30" t="n">
        <f aca="false">INT((X4-1)/12)+1</f>
        <v>2</v>
      </c>
      <c r="Y5" s="30" t="n">
        <f aca="false">INT((Y4-1)/12)+1</f>
        <v>2</v>
      </c>
      <c r="Z5" s="30" t="n">
        <f aca="false">INT((Z4-1)/12)+1</f>
        <v>2</v>
      </c>
      <c r="AA5" s="30" t="n">
        <f aca="false">INT((AA4-1)/12)+1</f>
        <v>3</v>
      </c>
      <c r="AB5" s="30" t="n">
        <f aca="false">INT((AB4-1)/12)+1</f>
        <v>3</v>
      </c>
      <c r="AC5" s="30" t="n">
        <f aca="false">INT((AC4-1)/12)+1</f>
        <v>3</v>
      </c>
      <c r="AD5" s="30" t="n">
        <f aca="false">INT((AD4-1)/12)+1</f>
        <v>3</v>
      </c>
      <c r="AE5" s="30" t="n">
        <f aca="false">INT((AE4-1)/12)+1</f>
        <v>3</v>
      </c>
      <c r="AF5" s="30" t="n">
        <f aca="false">INT((AF4-1)/12)+1</f>
        <v>3</v>
      </c>
      <c r="AG5" s="30" t="n">
        <f aca="false">INT((AG4-1)/12)+1</f>
        <v>3</v>
      </c>
      <c r="AH5" s="30" t="n">
        <f aca="false">INT((AH4-1)/12)+1</f>
        <v>3</v>
      </c>
      <c r="AI5" s="30" t="n">
        <f aca="false">INT((AI4-1)/12)+1</f>
        <v>3</v>
      </c>
      <c r="AJ5" s="30" t="n">
        <f aca="false">INT((AJ4-1)/12)+1</f>
        <v>3</v>
      </c>
      <c r="AK5" s="30" t="n">
        <f aca="false">INT((AK4-1)/12)+1</f>
        <v>3</v>
      </c>
      <c r="AL5" s="30" t="n">
        <f aca="false">INT((AL4-1)/12)+1</f>
        <v>3</v>
      </c>
      <c r="AM5" s="30" t="n">
        <f aca="false">INT((AM4-1)/12)+1</f>
        <v>4</v>
      </c>
      <c r="AN5" s="30" t="n">
        <f aca="false">INT((AN4-1)/12)+1</f>
        <v>4</v>
      </c>
      <c r="AO5" s="30" t="n">
        <f aca="false">INT((AO4-1)/12)+1</f>
        <v>4</v>
      </c>
      <c r="AP5" s="30" t="n">
        <f aca="false">INT((AP4-1)/12)+1</f>
        <v>4</v>
      </c>
      <c r="AQ5" s="30" t="n">
        <f aca="false">INT((AQ4-1)/12)+1</f>
        <v>4</v>
      </c>
      <c r="AR5" s="30" t="n">
        <f aca="false">INT((AR4-1)/12)+1</f>
        <v>4</v>
      </c>
      <c r="AS5" s="30" t="n">
        <f aca="false">INT((AS4-1)/12)+1</f>
        <v>4</v>
      </c>
      <c r="AT5" s="30" t="n">
        <f aca="false">INT((AT4-1)/12)+1</f>
        <v>4</v>
      </c>
      <c r="AU5" s="30" t="n">
        <f aca="false">INT((AU4-1)/12)+1</f>
        <v>4</v>
      </c>
      <c r="AV5" s="30" t="n">
        <f aca="false">INT((AV4-1)/12)+1</f>
        <v>4</v>
      </c>
      <c r="AW5" s="30" t="n">
        <f aca="false">INT((AW4-1)/12)+1</f>
        <v>4</v>
      </c>
      <c r="AX5" s="30" t="n">
        <f aca="false">INT((AX4-1)/12)+1</f>
        <v>4</v>
      </c>
      <c r="AY5" s="30" t="n">
        <f aca="false">INT((AY4-1)/12)+1</f>
        <v>5</v>
      </c>
      <c r="AZ5" s="30" t="n">
        <f aca="false">INT((AZ4-1)/12)+1</f>
        <v>5</v>
      </c>
      <c r="BA5" s="30" t="n">
        <f aca="false">INT((BA4-1)/12)+1</f>
        <v>5</v>
      </c>
      <c r="BB5" s="30" t="n">
        <f aca="false">INT((BB4-1)/12)+1</f>
        <v>5</v>
      </c>
      <c r="BC5" s="30" t="n">
        <f aca="false">INT((BC4-1)/12)+1</f>
        <v>5</v>
      </c>
      <c r="BD5" s="30" t="n">
        <f aca="false">INT((BD4-1)/12)+1</f>
        <v>5</v>
      </c>
      <c r="BE5" s="30" t="n">
        <f aca="false">INT((BE4-1)/12)+1</f>
        <v>5</v>
      </c>
      <c r="BF5" s="30" t="n">
        <f aca="false">INT((BF4-1)/12)+1</f>
        <v>5</v>
      </c>
      <c r="BG5" s="30" t="n">
        <f aca="false">INT((BG4-1)/12)+1</f>
        <v>5</v>
      </c>
      <c r="BH5" s="30" t="n">
        <f aca="false">INT((BH4-1)/12)+1</f>
        <v>5</v>
      </c>
      <c r="BI5" s="30" t="n">
        <f aca="false">INT((BI4-1)/12)+1</f>
        <v>5</v>
      </c>
      <c r="BJ5" s="30" t="n">
        <f aca="false">INT((BJ4-1)/12)+1</f>
        <v>5</v>
      </c>
      <c r="BK5" s="28" t="n">
        <v>1</v>
      </c>
      <c r="BL5" s="28" t="n">
        <v>2</v>
      </c>
      <c r="BM5" s="28" t="n">
        <v>3</v>
      </c>
      <c r="BN5" s="28" t="n">
        <v>4</v>
      </c>
      <c r="BO5" s="28" t="n">
        <v>5</v>
      </c>
    </row>
    <row r="6" customFormat="false" ht="15" hidden="false" customHeight="false" outlineLevel="0" collapsed="false">
      <c r="A6" s="5" t="s">
        <v>219</v>
      </c>
      <c r="B6" s="5" t="s">
        <v>74</v>
      </c>
      <c r="C6" s="31" t="n">
        <f aca="false">EDATE(Assumptions!$C$7,C4-1)</f>
        <v>46388</v>
      </c>
      <c r="D6" s="31" t="n">
        <f aca="false">EDATE(Assumptions!$C$7,D4-1)</f>
        <v>46419</v>
      </c>
      <c r="E6" s="31" t="n">
        <f aca="false">EDATE(Assumptions!$C$7,E4-1)</f>
        <v>46447</v>
      </c>
      <c r="F6" s="31" t="n">
        <f aca="false">EDATE(Assumptions!$C$7,F4-1)</f>
        <v>46478</v>
      </c>
      <c r="G6" s="31" t="n">
        <f aca="false">EDATE(Assumptions!$C$7,G4-1)</f>
        <v>46508</v>
      </c>
      <c r="H6" s="31" t="n">
        <f aca="false">EDATE(Assumptions!$C$7,H4-1)</f>
        <v>46539</v>
      </c>
      <c r="I6" s="31" t="n">
        <f aca="false">EDATE(Assumptions!$C$7,I4-1)</f>
        <v>46569</v>
      </c>
      <c r="J6" s="31" t="n">
        <f aca="false">EDATE(Assumptions!$C$7,J4-1)</f>
        <v>46600</v>
      </c>
      <c r="K6" s="31" t="n">
        <f aca="false">EDATE(Assumptions!$C$7,K4-1)</f>
        <v>46631</v>
      </c>
      <c r="L6" s="31" t="n">
        <f aca="false">EDATE(Assumptions!$C$7,L4-1)</f>
        <v>46661</v>
      </c>
      <c r="M6" s="31" t="n">
        <f aca="false">EDATE(Assumptions!$C$7,M4-1)</f>
        <v>46692</v>
      </c>
      <c r="N6" s="31" t="n">
        <f aca="false">EDATE(Assumptions!$C$7,N4-1)</f>
        <v>46722</v>
      </c>
      <c r="O6" s="31" t="n">
        <f aca="false">EDATE(Assumptions!$C$7,O4-1)</f>
        <v>46753</v>
      </c>
      <c r="P6" s="31" t="n">
        <f aca="false">EDATE(Assumptions!$C$7,P4-1)</f>
        <v>46784</v>
      </c>
      <c r="Q6" s="31" t="n">
        <f aca="false">EDATE(Assumptions!$C$7,Q4-1)</f>
        <v>46813</v>
      </c>
      <c r="R6" s="31" t="n">
        <f aca="false">EDATE(Assumptions!$C$7,R4-1)</f>
        <v>46844</v>
      </c>
      <c r="S6" s="31" t="n">
        <f aca="false">EDATE(Assumptions!$C$7,S4-1)</f>
        <v>46874</v>
      </c>
      <c r="T6" s="31" t="n">
        <f aca="false">EDATE(Assumptions!$C$7,T4-1)</f>
        <v>46905</v>
      </c>
      <c r="U6" s="31" t="n">
        <f aca="false">EDATE(Assumptions!$C$7,U4-1)</f>
        <v>46935</v>
      </c>
      <c r="V6" s="31" t="n">
        <f aca="false">EDATE(Assumptions!$C$7,V4-1)</f>
        <v>46966</v>
      </c>
      <c r="W6" s="31" t="n">
        <f aca="false">EDATE(Assumptions!$C$7,W4-1)</f>
        <v>46997</v>
      </c>
      <c r="X6" s="31" t="n">
        <f aca="false">EDATE(Assumptions!$C$7,X4-1)</f>
        <v>47027</v>
      </c>
      <c r="Y6" s="31" t="n">
        <f aca="false">EDATE(Assumptions!$C$7,Y4-1)</f>
        <v>47058</v>
      </c>
      <c r="Z6" s="31" t="n">
        <f aca="false">EDATE(Assumptions!$C$7,Z4-1)</f>
        <v>47088</v>
      </c>
      <c r="AA6" s="31" t="n">
        <f aca="false">EDATE(Assumptions!$C$7,AA4-1)</f>
        <v>47119</v>
      </c>
      <c r="AB6" s="31" t="n">
        <f aca="false">EDATE(Assumptions!$C$7,AB4-1)</f>
        <v>47150</v>
      </c>
      <c r="AC6" s="31" t="n">
        <f aca="false">EDATE(Assumptions!$C$7,AC4-1)</f>
        <v>47178</v>
      </c>
      <c r="AD6" s="31" t="n">
        <f aca="false">EDATE(Assumptions!$C$7,AD4-1)</f>
        <v>47209</v>
      </c>
      <c r="AE6" s="31" t="n">
        <f aca="false">EDATE(Assumptions!$C$7,AE4-1)</f>
        <v>47239</v>
      </c>
      <c r="AF6" s="31" t="n">
        <f aca="false">EDATE(Assumptions!$C$7,AF4-1)</f>
        <v>47270</v>
      </c>
      <c r="AG6" s="31" t="n">
        <f aca="false">EDATE(Assumptions!$C$7,AG4-1)</f>
        <v>47300</v>
      </c>
      <c r="AH6" s="31" t="n">
        <f aca="false">EDATE(Assumptions!$C$7,AH4-1)</f>
        <v>47331</v>
      </c>
      <c r="AI6" s="31" t="n">
        <f aca="false">EDATE(Assumptions!$C$7,AI4-1)</f>
        <v>47362</v>
      </c>
      <c r="AJ6" s="31" t="n">
        <f aca="false">EDATE(Assumptions!$C$7,AJ4-1)</f>
        <v>47392</v>
      </c>
      <c r="AK6" s="31" t="n">
        <f aca="false">EDATE(Assumptions!$C$7,AK4-1)</f>
        <v>47423</v>
      </c>
      <c r="AL6" s="31" t="n">
        <f aca="false">EDATE(Assumptions!$C$7,AL4-1)</f>
        <v>47453</v>
      </c>
      <c r="AM6" s="31" t="n">
        <f aca="false">EDATE(Assumptions!$C$7,AM4-1)</f>
        <v>47484</v>
      </c>
      <c r="AN6" s="31" t="n">
        <f aca="false">EDATE(Assumptions!$C$7,AN4-1)</f>
        <v>47515</v>
      </c>
      <c r="AO6" s="31" t="n">
        <f aca="false">EDATE(Assumptions!$C$7,AO4-1)</f>
        <v>47543</v>
      </c>
      <c r="AP6" s="31" t="n">
        <f aca="false">EDATE(Assumptions!$C$7,AP4-1)</f>
        <v>47574</v>
      </c>
      <c r="AQ6" s="31" t="n">
        <f aca="false">EDATE(Assumptions!$C$7,AQ4-1)</f>
        <v>47604</v>
      </c>
      <c r="AR6" s="31" t="n">
        <f aca="false">EDATE(Assumptions!$C$7,AR4-1)</f>
        <v>47635</v>
      </c>
      <c r="AS6" s="31" t="n">
        <f aca="false">EDATE(Assumptions!$C$7,AS4-1)</f>
        <v>47665</v>
      </c>
      <c r="AT6" s="31" t="n">
        <f aca="false">EDATE(Assumptions!$C$7,AT4-1)</f>
        <v>47696</v>
      </c>
      <c r="AU6" s="31" t="n">
        <f aca="false">EDATE(Assumptions!$C$7,AU4-1)</f>
        <v>47727</v>
      </c>
      <c r="AV6" s="31" t="n">
        <f aca="false">EDATE(Assumptions!$C$7,AV4-1)</f>
        <v>47757</v>
      </c>
      <c r="AW6" s="31" t="n">
        <f aca="false">EDATE(Assumptions!$C$7,AW4-1)</f>
        <v>47788</v>
      </c>
      <c r="AX6" s="31" t="n">
        <f aca="false">EDATE(Assumptions!$C$7,AX4-1)</f>
        <v>47818</v>
      </c>
      <c r="AY6" s="31" t="n">
        <f aca="false">EDATE(Assumptions!$C$7,AY4-1)</f>
        <v>47849</v>
      </c>
      <c r="AZ6" s="31" t="n">
        <f aca="false">EDATE(Assumptions!$C$7,AZ4-1)</f>
        <v>47880</v>
      </c>
      <c r="BA6" s="31" t="n">
        <f aca="false">EDATE(Assumptions!$C$7,BA4-1)</f>
        <v>47908</v>
      </c>
      <c r="BB6" s="31" t="n">
        <f aca="false">EDATE(Assumptions!$C$7,BB4-1)</f>
        <v>47939</v>
      </c>
      <c r="BC6" s="31" t="n">
        <f aca="false">EDATE(Assumptions!$C$7,BC4-1)</f>
        <v>47969</v>
      </c>
      <c r="BD6" s="31" t="n">
        <f aca="false">EDATE(Assumptions!$C$7,BD4-1)</f>
        <v>48000</v>
      </c>
      <c r="BE6" s="31" t="n">
        <f aca="false">EDATE(Assumptions!$C$7,BE4-1)</f>
        <v>48030</v>
      </c>
      <c r="BF6" s="31" t="n">
        <f aca="false">EDATE(Assumptions!$C$7,BF4-1)</f>
        <v>48061</v>
      </c>
      <c r="BG6" s="31" t="n">
        <f aca="false">EDATE(Assumptions!$C$7,BG4-1)</f>
        <v>48092</v>
      </c>
      <c r="BH6" s="31" t="n">
        <f aca="false">EDATE(Assumptions!$C$7,BH4-1)</f>
        <v>48122</v>
      </c>
      <c r="BI6" s="31" t="n">
        <f aca="false">EDATE(Assumptions!$C$7,BI4-1)</f>
        <v>48153</v>
      </c>
      <c r="BJ6" s="31" t="n">
        <f aca="false">EDATE(Assumptions!$C$7,BJ4-1)</f>
        <v>48183</v>
      </c>
      <c r="BK6" s="32" t="s">
        <v>54</v>
      </c>
      <c r="BL6" s="32" t="s">
        <v>55</v>
      </c>
      <c r="BM6" s="32" t="s">
        <v>56</v>
      </c>
      <c r="BN6" s="32" t="s">
        <v>220</v>
      </c>
      <c r="BO6" s="32" t="s">
        <v>221</v>
      </c>
    </row>
    <row r="7" customFormat="false" ht="15" hidden="false" customHeight="false" outlineLevel="0" collapsed="false">
      <c r="A7" s="39" t="s">
        <v>229</v>
      </c>
      <c r="B7" s="40"/>
      <c r="C7" s="47" t="n">
        <f aca="false">Revenue!C32</f>
        <v>17550</v>
      </c>
      <c r="D7" s="47" t="n">
        <f aca="false">Revenue!D32</f>
        <v>21060</v>
      </c>
      <c r="E7" s="47" t="n">
        <f aca="false">Revenue!E32</f>
        <v>27300</v>
      </c>
      <c r="F7" s="47" t="n">
        <f aca="false">Revenue!F32</f>
        <v>32760</v>
      </c>
      <c r="G7" s="47" t="n">
        <f aca="false">Revenue!G32</f>
        <v>38610</v>
      </c>
      <c r="H7" s="47" t="n">
        <f aca="false">Revenue!H32</f>
        <v>42900</v>
      </c>
      <c r="I7" s="47" t="n">
        <f aca="false">Revenue!I32</f>
        <v>40950</v>
      </c>
      <c r="J7" s="47" t="n">
        <f aca="false">Revenue!J32</f>
        <v>39000</v>
      </c>
      <c r="K7" s="47" t="n">
        <f aca="false">Revenue!K32</f>
        <v>39000</v>
      </c>
      <c r="L7" s="47" t="n">
        <f aca="false">Revenue!L32</f>
        <v>39000</v>
      </c>
      <c r="M7" s="47" t="n">
        <f aca="false">Revenue!M32</f>
        <v>37050</v>
      </c>
      <c r="N7" s="47" t="n">
        <f aca="false">Revenue!N32</f>
        <v>37050</v>
      </c>
      <c r="O7" s="47" t="n">
        <f aca="false">Revenue!O32</f>
        <v>38348.1</v>
      </c>
      <c r="P7" s="47" t="n">
        <f aca="false">Revenue!P32</f>
        <v>38348.1</v>
      </c>
      <c r="Q7" s="47" t="n">
        <f aca="false">Revenue!Q32</f>
        <v>42609</v>
      </c>
      <c r="R7" s="47" t="n">
        <f aca="false">Revenue!R32</f>
        <v>44739.45</v>
      </c>
      <c r="S7" s="47" t="n">
        <f aca="false">Revenue!S32</f>
        <v>46869.9</v>
      </c>
      <c r="T7" s="47" t="n">
        <f aca="false">Revenue!T32</f>
        <v>46869.9</v>
      </c>
      <c r="U7" s="47" t="n">
        <f aca="false">Revenue!U32</f>
        <v>44739.45</v>
      </c>
      <c r="V7" s="47" t="n">
        <f aca="false">Revenue!V32</f>
        <v>42609</v>
      </c>
      <c r="W7" s="47" t="n">
        <f aca="false">Revenue!W32</f>
        <v>42609</v>
      </c>
      <c r="X7" s="47" t="n">
        <f aca="false">Revenue!X32</f>
        <v>42609</v>
      </c>
      <c r="Y7" s="47" t="n">
        <f aca="false">Revenue!Y32</f>
        <v>40478.55</v>
      </c>
      <c r="Z7" s="47" t="n">
        <f aca="false">Revenue!Z32</f>
        <v>40478.55</v>
      </c>
      <c r="AA7" s="47" t="n">
        <f aca="false">Revenue!AA32</f>
        <v>41910.00966</v>
      </c>
      <c r="AB7" s="47" t="n">
        <f aca="false">Revenue!AB32</f>
        <v>41910.00966</v>
      </c>
      <c r="AC7" s="47" t="n">
        <f aca="false">Revenue!AC32</f>
        <v>46566.6774</v>
      </c>
      <c r="AD7" s="47" t="n">
        <f aca="false">Revenue!AD32</f>
        <v>48895.01127</v>
      </c>
      <c r="AE7" s="47" t="n">
        <f aca="false">Revenue!AE32</f>
        <v>51223.34514</v>
      </c>
      <c r="AF7" s="47" t="n">
        <f aca="false">Revenue!AF32</f>
        <v>51223.34514</v>
      </c>
      <c r="AG7" s="47" t="n">
        <f aca="false">Revenue!AG32</f>
        <v>48895.01127</v>
      </c>
      <c r="AH7" s="47" t="n">
        <f aca="false">Revenue!AH32</f>
        <v>46566.6774</v>
      </c>
      <c r="AI7" s="47" t="n">
        <f aca="false">Revenue!AI32</f>
        <v>46566.6774</v>
      </c>
      <c r="AJ7" s="47" t="n">
        <f aca="false">Revenue!AJ32</f>
        <v>46566.6774</v>
      </c>
      <c r="AK7" s="47" t="n">
        <f aca="false">Revenue!AK32</f>
        <v>44238.34353</v>
      </c>
      <c r="AL7" s="47" t="n">
        <f aca="false">Revenue!AL32</f>
        <v>44238.34353</v>
      </c>
      <c r="AM7" s="47" t="n">
        <f aca="false">Revenue!AM32</f>
        <v>45817.481296548</v>
      </c>
      <c r="AN7" s="47" t="n">
        <f aca="false">Revenue!AN32</f>
        <v>45817.481296548</v>
      </c>
      <c r="AO7" s="47" t="n">
        <f aca="false">Revenue!AO32</f>
        <v>50908.31255172</v>
      </c>
      <c r="AP7" s="47" t="n">
        <f aca="false">Revenue!AP32</f>
        <v>53453.728179306</v>
      </c>
      <c r="AQ7" s="47" t="n">
        <f aca="false">Revenue!AQ32</f>
        <v>55999.143806892</v>
      </c>
      <c r="AR7" s="47" t="n">
        <f aca="false">Revenue!AR32</f>
        <v>55999.143806892</v>
      </c>
      <c r="AS7" s="47" t="n">
        <f aca="false">Revenue!AS32</f>
        <v>53453.728179306</v>
      </c>
      <c r="AT7" s="47" t="n">
        <f aca="false">Revenue!AT32</f>
        <v>50908.31255172</v>
      </c>
      <c r="AU7" s="47" t="n">
        <f aca="false">Revenue!AU32</f>
        <v>50908.31255172</v>
      </c>
      <c r="AV7" s="47" t="n">
        <f aca="false">Revenue!AV32</f>
        <v>50908.31255172</v>
      </c>
      <c r="AW7" s="47" t="n">
        <f aca="false">Revenue!AW32</f>
        <v>48362.896924134</v>
      </c>
      <c r="AX7" s="47" t="n">
        <f aca="false">Revenue!AX32</f>
        <v>48362.896924134</v>
      </c>
      <c r="AY7" s="47" t="n">
        <f aca="false">Revenue!AY32</f>
        <v>50105.6351525447</v>
      </c>
      <c r="AZ7" s="47" t="n">
        <f aca="false">Revenue!AZ32</f>
        <v>50105.6351525447</v>
      </c>
      <c r="BA7" s="47" t="n">
        <f aca="false">Revenue!BA32</f>
        <v>55672.9279472719</v>
      </c>
      <c r="BB7" s="47" t="n">
        <f aca="false">Revenue!BB32</f>
        <v>58456.5743446355</v>
      </c>
      <c r="BC7" s="47" t="n">
        <f aca="false">Revenue!BC32</f>
        <v>61240.2207419991</v>
      </c>
      <c r="BD7" s="47" t="n">
        <f aca="false">Revenue!BD32</f>
        <v>61240.2207419991</v>
      </c>
      <c r="BE7" s="47" t="n">
        <f aca="false">Revenue!BE32</f>
        <v>58456.5743446355</v>
      </c>
      <c r="BF7" s="47" t="n">
        <f aca="false">Revenue!BF32</f>
        <v>55672.9279472719</v>
      </c>
      <c r="BG7" s="47" t="n">
        <f aca="false">Revenue!BG32</f>
        <v>55672.9279472719</v>
      </c>
      <c r="BH7" s="47" t="n">
        <f aca="false">Revenue!BH32</f>
        <v>55672.9279472719</v>
      </c>
      <c r="BI7" s="47" t="n">
        <f aca="false">Revenue!BI32</f>
        <v>52889.2815499083</v>
      </c>
      <c r="BJ7" s="47" t="n">
        <f aca="false">Revenue!BJ32</f>
        <v>52889.2815499083</v>
      </c>
      <c r="BK7" s="42" t="n">
        <f aca="false">SUMIF($C$5:$BJ$5,BK$5,$C7:$BJ7)</f>
        <v>412230</v>
      </c>
      <c r="BL7" s="42" t="n">
        <f aca="false">SUMIF($C$5:$BJ$5,BL$5,$C7:$BJ7)</f>
        <v>511308</v>
      </c>
      <c r="BM7" s="42" t="n">
        <f aca="false">SUMIF($C$5:$BJ$5,BM$5,$C7:$BJ7)</f>
        <v>558800.1288</v>
      </c>
      <c r="BN7" s="42" t="n">
        <f aca="false">SUMIF($C$5:$BJ$5,BN$5,$C7:$BJ7)</f>
        <v>610899.75062064</v>
      </c>
      <c r="BO7" s="42" t="n">
        <f aca="false">SUMIF($C$5:$BJ$5,BO$5,$C7:$BJ7)</f>
        <v>668075.135367263</v>
      </c>
    </row>
    <row r="8" customFormat="false" ht="15" hidden="false" customHeight="false" outlineLevel="0" collapsed="false">
      <c r="A8" s="18" t="s">
        <v>273</v>
      </c>
      <c r="B8" s="2"/>
      <c r="C8" s="44" t="n">
        <f aca="false">'Direct Costs'!C12</f>
        <v>5298.75</v>
      </c>
      <c r="D8" s="44" t="n">
        <f aca="false">'Direct Costs'!D12</f>
        <v>6358.5</v>
      </c>
      <c r="E8" s="44" t="n">
        <f aca="false">'Direct Costs'!E12</f>
        <v>8242.5</v>
      </c>
      <c r="F8" s="44" t="n">
        <f aca="false">'Direct Costs'!F12</f>
        <v>9891</v>
      </c>
      <c r="G8" s="44" t="n">
        <f aca="false">'Direct Costs'!G12</f>
        <v>11657.25</v>
      </c>
      <c r="H8" s="44" t="n">
        <f aca="false">'Direct Costs'!H12</f>
        <v>12952.5</v>
      </c>
      <c r="I8" s="44" t="n">
        <f aca="false">'Direct Costs'!I12</f>
        <v>12363.75</v>
      </c>
      <c r="J8" s="44" t="n">
        <f aca="false">'Direct Costs'!J12</f>
        <v>11775</v>
      </c>
      <c r="K8" s="44" t="n">
        <f aca="false">'Direct Costs'!K12</f>
        <v>11775</v>
      </c>
      <c r="L8" s="44" t="n">
        <f aca="false">'Direct Costs'!L12</f>
        <v>11775</v>
      </c>
      <c r="M8" s="44" t="n">
        <f aca="false">'Direct Costs'!M12</f>
        <v>11186.25</v>
      </c>
      <c r="N8" s="44" t="n">
        <f aca="false">'Direct Costs'!N12</f>
        <v>11186.25</v>
      </c>
      <c r="O8" s="44" t="n">
        <f aca="false">'Direct Costs'!O12</f>
        <v>11505.4425</v>
      </c>
      <c r="P8" s="44" t="n">
        <f aca="false">'Direct Costs'!P12</f>
        <v>11505.4425</v>
      </c>
      <c r="Q8" s="44" t="n">
        <f aca="false">'Direct Costs'!Q12</f>
        <v>12783.825</v>
      </c>
      <c r="R8" s="44" t="n">
        <f aca="false">'Direct Costs'!R12</f>
        <v>13423.01625</v>
      </c>
      <c r="S8" s="44" t="n">
        <f aca="false">'Direct Costs'!S12</f>
        <v>14062.2075</v>
      </c>
      <c r="T8" s="44" t="n">
        <f aca="false">'Direct Costs'!T12</f>
        <v>14062.2075</v>
      </c>
      <c r="U8" s="44" t="n">
        <f aca="false">'Direct Costs'!U12</f>
        <v>13423.01625</v>
      </c>
      <c r="V8" s="44" t="n">
        <f aca="false">'Direct Costs'!V12</f>
        <v>12783.825</v>
      </c>
      <c r="W8" s="44" t="n">
        <f aca="false">'Direct Costs'!W12</f>
        <v>12783.825</v>
      </c>
      <c r="X8" s="44" t="n">
        <f aca="false">'Direct Costs'!X12</f>
        <v>12783.825</v>
      </c>
      <c r="Y8" s="44" t="n">
        <f aca="false">'Direct Costs'!Y12</f>
        <v>12144.63375</v>
      </c>
      <c r="Z8" s="44" t="n">
        <f aca="false">'Direct Costs'!Z12</f>
        <v>12144.63375</v>
      </c>
      <c r="AA8" s="44" t="n">
        <f aca="false">'Direct Costs'!AA12</f>
        <v>12494.1947175</v>
      </c>
      <c r="AB8" s="44" t="n">
        <f aca="false">'Direct Costs'!AB12</f>
        <v>12494.1947175</v>
      </c>
      <c r="AC8" s="44" t="n">
        <f aca="false">'Direct Costs'!AC12</f>
        <v>13882.438575</v>
      </c>
      <c r="AD8" s="44" t="n">
        <f aca="false">'Direct Costs'!AD12</f>
        <v>14576.56050375</v>
      </c>
      <c r="AE8" s="44" t="n">
        <f aca="false">'Direct Costs'!AE12</f>
        <v>15270.6824325</v>
      </c>
      <c r="AF8" s="44" t="n">
        <f aca="false">'Direct Costs'!AF12</f>
        <v>15270.6824325</v>
      </c>
      <c r="AG8" s="44" t="n">
        <f aca="false">'Direct Costs'!AG12</f>
        <v>14576.56050375</v>
      </c>
      <c r="AH8" s="44" t="n">
        <f aca="false">'Direct Costs'!AH12</f>
        <v>13882.438575</v>
      </c>
      <c r="AI8" s="44" t="n">
        <f aca="false">'Direct Costs'!AI12</f>
        <v>13882.438575</v>
      </c>
      <c r="AJ8" s="44" t="n">
        <f aca="false">'Direct Costs'!AJ12</f>
        <v>13882.438575</v>
      </c>
      <c r="AK8" s="44" t="n">
        <f aca="false">'Direct Costs'!AK12</f>
        <v>13188.31664625</v>
      </c>
      <c r="AL8" s="44" t="n">
        <f aca="false">'Direct Costs'!AL12</f>
        <v>13188.31664625</v>
      </c>
      <c r="AM8" s="44" t="n">
        <f aca="false">'Direct Costs'!AM12</f>
        <v>13571.2698723945</v>
      </c>
      <c r="AN8" s="44" t="n">
        <f aca="false">'Direct Costs'!AN12</f>
        <v>13571.2698723945</v>
      </c>
      <c r="AO8" s="44" t="n">
        <f aca="false">'Direct Costs'!AO12</f>
        <v>15079.188747105</v>
      </c>
      <c r="AP8" s="44" t="n">
        <f aca="false">'Direct Costs'!AP12</f>
        <v>15833.1481844603</v>
      </c>
      <c r="AQ8" s="44" t="n">
        <f aca="false">'Direct Costs'!AQ12</f>
        <v>16587.1076218155</v>
      </c>
      <c r="AR8" s="44" t="n">
        <f aca="false">'Direct Costs'!AR12</f>
        <v>16587.1076218155</v>
      </c>
      <c r="AS8" s="44" t="n">
        <f aca="false">'Direct Costs'!AS12</f>
        <v>15833.1481844603</v>
      </c>
      <c r="AT8" s="44" t="n">
        <f aca="false">'Direct Costs'!AT12</f>
        <v>15079.188747105</v>
      </c>
      <c r="AU8" s="44" t="n">
        <f aca="false">'Direct Costs'!AU12</f>
        <v>15079.188747105</v>
      </c>
      <c r="AV8" s="44" t="n">
        <f aca="false">'Direct Costs'!AV12</f>
        <v>15079.188747105</v>
      </c>
      <c r="AW8" s="44" t="n">
        <f aca="false">'Direct Costs'!AW12</f>
        <v>14325.2293097498</v>
      </c>
      <c r="AX8" s="44" t="n">
        <f aca="false">'Direct Costs'!AX12</f>
        <v>14325.2293097498</v>
      </c>
      <c r="AY8" s="44" t="n">
        <f aca="false">'Direct Costs'!AY12</f>
        <v>14744.9142348732</v>
      </c>
      <c r="AZ8" s="44" t="n">
        <f aca="false">'Direct Costs'!AZ12</f>
        <v>14744.9142348732</v>
      </c>
      <c r="BA8" s="44" t="n">
        <f aca="false">'Direct Costs'!BA12</f>
        <v>16383.238038748</v>
      </c>
      <c r="BB8" s="44" t="n">
        <f aca="false">'Direct Costs'!BB12</f>
        <v>17202.3999406854</v>
      </c>
      <c r="BC8" s="44" t="n">
        <f aca="false">'Direct Costs'!BC12</f>
        <v>18021.5618426228</v>
      </c>
      <c r="BD8" s="44" t="n">
        <f aca="false">'Direct Costs'!BD12</f>
        <v>18021.5618426228</v>
      </c>
      <c r="BE8" s="44" t="n">
        <f aca="false">'Direct Costs'!BE12</f>
        <v>17202.3999406854</v>
      </c>
      <c r="BF8" s="44" t="n">
        <f aca="false">'Direct Costs'!BF12</f>
        <v>16383.238038748</v>
      </c>
      <c r="BG8" s="44" t="n">
        <f aca="false">'Direct Costs'!BG12</f>
        <v>16383.238038748</v>
      </c>
      <c r="BH8" s="44" t="n">
        <f aca="false">'Direct Costs'!BH12</f>
        <v>16383.238038748</v>
      </c>
      <c r="BI8" s="44" t="n">
        <f aca="false">'Direct Costs'!BI12</f>
        <v>15564.0761368106</v>
      </c>
      <c r="BJ8" s="44" t="n">
        <f aca="false">'Direct Costs'!BJ12</f>
        <v>15564.0761368106</v>
      </c>
      <c r="BK8" s="43" t="n">
        <f aca="false">SUMIF($C$5:$BJ$5,BK$5,$C8:$BJ8)</f>
        <v>124461.75</v>
      </c>
      <c r="BL8" s="43" t="n">
        <f aca="false">SUMIF($C$5:$BJ$5,BL$5,$C8:$BJ8)</f>
        <v>153405.9</v>
      </c>
      <c r="BM8" s="43" t="n">
        <f aca="false">SUMIF($C$5:$BJ$5,BM$5,$C8:$BJ8)</f>
        <v>166589.2629</v>
      </c>
      <c r="BN8" s="43" t="n">
        <f aca="false">SUMIF($C$5:$BJ$5,BN$5,$C8:$BJ8)</f>
        <v>180950.26496526</v>
      </c>
      <c r="BO8" s="43" t="n">
        <f aca="false">SUMIF($C$5:$BJ$5,BO$5,$C8:$BJ8)</f>
        <v>196598.856464976</v>
      </c>
    </row>
    <row r="9" customFormat="false" ht="15" hidden="false" customHeight="false" outlineLevel="0" collapsed="false">
      <c r="A9" s="39" t="s">
        <v>235</v>
      </c>
      <c r="B9" s="40"/>
      <c r="C9" s="41" t="n">
        <f aca="false">C7-C8</f>
        <v>12251.25</v>
      </c>
      <c r="D9" s="41" t="n">
        <f aca="false">D7-D8</f>
        <v>14701.5</v>
      </c>
      <c r="E9" s="41" t="n">
        <f aca="false">E7-E8</f>
        <v>19057.5</v>
      </c>
      <c r="F9" s="41" t="n">
        <f aca="false">F7-F8</f>
        <v>22869</v>
      </c>
      <c r="G9" s="41" t="n">
        <f aca="false">G7-G8</f>
        <v>26952.75</v>
      </c>
      <c r="H9" s="41" t="n">
        <f aca="false">H7-H8</f>
        <v>29947.5</v>
      </c>
      <c r="I9" s="41" t="n">
        <f aca="false">I7-I8</f>
        <v>28586.25</v>
      </c>
      <c r="J9" s="41" t="n">
        <f aca="false">J7-J8</f>
        <v>27225</v>
      </c>
      <c r="K9" s="41" t="n">
        <f aca="false">K7-K8</f>
        <v>27225</v>
      </c>
      <c r="L9" s="41" t="n">
        <f aca="false">L7-L8</f>
        <v>27225</v>
      </c>
      <c r="M9" s="41" t="n">
        <f aca="false">M7-M8</f>
        <v>25863.75</v>
      </c>
      <c r="N9" s="41" t="n">
        <f aca="false">N7-N8</f>
        <v>25863.75</v>
      </c>
      <c r="O9" s="41" t="n">
        <f aca="false">O7-O8</f>
        <v>26842.6575</v>
      </c>
      <c r="P9" s="41" t="n">
        <f aca="false">P7-P8</f>
        <v>26842.6575</v>
      </c>
      <c r="Q9" s="41" t="n">
        <f aca="false">Q7-Q8</f>
        <v>29825.175</v>
      </c>
      <c r="R9" s="41" t="n">
        <f aca="false">R7-R8</f>
        <v>31316.43375</v>
      </c>
      <c r="S9" s="41" t="n">
        <f aca="false">S7-S8</f>
        <v>32807.6925</v>
      </c>
      <c r="T9" s="41" t="n">
        <f aca="false">T7-T8</f>
        <v>32807.6925</v>
      </c>
      <c r="U9" s="41" t="n">
        <f aca="false">U7-U8</f>
        <v>31316.43375</v>
      </c>
      <c r="V9" s="41" t="n">
        <f aca="false">V7-V8</f>
        <v>29825.175</v>
      </c>
      <c r="W9" s="41" t="n">
        <f aca="false">W7-W8</f>
        <v>29825.175</v>
      </c>
      <c r="X9" s="41" t="n">
        <f aca="false">X7-X8</f>
        <v>29825.175</v>
      </c>
      <c r="Y9" s="41" t="n">
        <f aca="false">Y7-Y8</f>
        <v>28333.91625</v>
      </c>
      <c r="Z9" s="41" t="n">
        <f aca="false">Z7-Z8</f>
        <v>28333.91625</v>
      </c>
      <c r="AA9" s="41" t="n">
        <f aca="false">AA7-AA8</f>
        <v>29415.8149425</v>
      </c>
      <c r="AB9" s="41" t="n">
        <f aca="false">AB7-AB8</f>
        <v>29415.8149425</v>
      </c>
      <c r="AC9" s="41" t="n">
        <f aca="false">AC7-AC8</f>
        <v>32684.238825</v>
      </c>
      <c r="AD9" s="41" t="n">
        <f aca="false">AD7-AD8</f>
        <v>34318.45076625</v>
      </c>
      <c r="AE9" s="41" t="n">
        <f aca="false">AE7-AE8</f>
        <v>35952.6627075</v>
      </c>
      <c r="AF9" s="41" t="n">
        <f aca="false">AF7-AF8</f>
        <v>35952.6627075</v>
      </c>
      <c r="AG9" s="41" t="n">
        <f aca="false">AG7-AG8</f>
        <v>34318.45076625</v>
      </c>
      <c r="AH9" s="41" t="n">
        <f aca="false">AH7-AH8</f>
        <v>32684.238825</v>
      </c>
      <c r="AI9" s="41" t="n">
        <f aca="false">AI7-AI8</f>
        <v>32684.238825</v>
      </c>
      <c r="AJ9" s="41" t="n">
        <f aca="false">AJ7-AJ8</f>
        <v>32684.238825</v>
      </c>
      <c r="AK9" s="41" t="n">
        <f aca="false">AK7-AK8</f>
        <v>31050.02688375</v>
      </c>
      <c r="AL9" s="41" t="n">
        <f aca="false">AL7-AL8</f>
        <v>31050.02688375</v>
      </c>
      <c r="AM9" s="41" t="n">
        <f aca="false">AM7-AM8</f>
        <v>32246.2114241535</v>
      </c>
      <c r="AN9" s="41" t="n">
        <f aca="false">AN7-AN8</f>
        <v>32246.2114241535</v>
      </c>
      <c r="AO9" s="41" t="n">
        <f aca="false">AO7-AO8</f>
        <v>35829.123804615</v>
      </c>
      <c r="AP9" s="41" t="n">
        <f aca="false">AP7-AP8</f>
        <v>37620.5799948458</v>
      </c>
      <c r="AQ9" s="41" t="n">
        <f aca="false">AQ7-AQ8</f>
        <v>39412.0361850765</v>
      </c>
      <c r="AR9" s="41" t="n">
        <f aca="false">AR7-AR8</f>
        <v>39412.0361850765</v>
      </c>
      <c r="AS9" s="41" t="n">
        <f aca="false">AS7-AS8</f>
        <v>37620.5799948458</v>
      </c>
      <c r="AT9" s="41" t="n">
        <f aca="false">AT7-AT8</f>
        <v>35829.123804615</v>
      </c>
      <c r="AU9" s="41" t="n">
        <f aca="false">AU7-AU8</f>
        <v>35829.123804615</v>
      </c>
      <c r="AV9" s="41" t="n">
        <f aca="false">AV7-AV8</f>
        <v>35829.123804615</v>
      </c>
      <c r="AW9" s="41" t="n">
        <f aca="false">AW7-AW8</f>
        <v>34037.6676143843</v>
      </c>
      <c r="AX9" s="41" t="n">
        <f aca="false">AX7-AX8</f>
        <v>34037.6676143843</v>
      </c>
      <c r="AY9" s="41" t="n">
        <f aca="false">AY7-AY8</f>
        <v>35360.7209176715</v>
      </c>
      <c r="AZ9" s="41" t="n">
        <f aca="false">AZ7-AZ8</f>
        <v>35360.7209176715</v>
      </c>
      <c r="BA9" s="41" t="n">
        <f aca="false">BA7-BA8</f>
        <v>39289.6899085239</v>
      </c>
      <c r="BB9" s="41" t="n">
        <f aca="false">BB7-BB8</f>
        <v>41254.1744039501</v>
      </c>
      <c r="BC9" s="41" t="n">
        <f aca="false">BC7-BC8</f>
        <v>43218.6588993763</v>
      </c>
      <c r="BD9" s="41" t="n">
        <f aca="false">BD7-BD8</f>
        <v>43218.6588993763</v>
      </c>
      <c r="BE9" s="41" t="n">
        <f aca="false">BE7-BE8</f>
        <v>41254.1744039501</v>
      </c>
      <c r="BF9" s="41" t="n">
        <f aca="false">BF7-BF8</f>
        <v>39289.6899085239</v>
      </c>
      <c r="BG9" s="41" t="n">
        <f aca="false">BG7-BG8</f>
        <v>39289.6899085239</v>
      </c>
      <c r="BH9" s="41" t="n">
        <f aca="false">BH7-BH8</f>
        <v>39289.6899085239</v>
      </c>
      <c r="BI9" s="41" t="n">
        <f aca="false">BI7-BI8</f>
        <v>37325.2054130977</v>
      </c>
      <c r="BJ9" s="41" t="n">
        <f aca="false">BJ7-BJ8</f>
        <v>37325.2054130977</v>
      </c>
      <c r="BK9" s="42" t="n">
        <f aca="false">SUMIF($C$5:$BJ$5,BK$5,$C9:$BJ9)</f>
        <v>287768.25</v>
      </c>
      <c r="BL9" s="42" t="n">
        <f aca="false">SUMIF($C$5:$BJ$5,BL$5,$C9:$BJ9)</f>
        <v>357902.1</v>
      </c>
      <c r="BM9" s="42" t="n">
        <f aca="false">SUMIF($C$5:$BJ$5,BM$5,$C9:$BJ9)</f>
        <v>392210.8659</v>
      </c>
      <c r="BN9" s="42" t="n">
        <f aca="false">SUMIF($C$5:$BJ$5,BN$5,$C9:$BJ9)</f>
        <v>429949.48565538</v>
      </c>
      <c r="BO9" s="42" t="n">
        <f aca="false">SUMIF($C$5:$BJ$5,BO$5,$C9:$BJ9)</f>
        <v>471476.278902287</v>
      </c>
    </row>
    <row r="10" customFormat="false" ht="15" hidden="false" customHeight="false" outlineLevel="0" collapsed="false">
      <c r="A10" s="18" t="s">
        <v>274</v>
      </c>
      <c r="B10" s="2"/>
      <c r="C10" s="44" t="n">
        <f aca="false">Payroll!C21</f>
        <v>12528.75</v>
      </c>
      <c r="D10" s="44" t="n">
        <f aca="false">Payroll!D21</f>
        <v>12528.75</v>
      </c>
      <c r="E10" s="44" t="n">
        <f aca="false">Payroll!E21</f>
        <v>12528.75</v>
      </c>
      <c r="F10" s="44" t="n">
        <f aca="false">Payroll!F21</f>
        <v>12528.75</v>
      </c>
      <c r="G10" s="44" t="n">
        <f aca="false">Payroll!G21</f>
        <v>12528.75</v>
      </c>
      <c r="H10" s="44" t="n">
        <f aca="false">Payroll!H21</f>
        <v>12528.75</v>
      </c>
      <c r="I10" s="44" t="n">
        <f aca="false">Payroll!I21</f>
        <v>15805.5</v>
      </c>
      <c r="J10" s="44" t="n">
        <f aca="false">Payroll!J21</f>
        <v>15805.5</v>
      </c>
      <c r="K10" s="44" t="n">
        <f aca="false">Payroll!K21</f>
        <v>15805.5</v>
      </c>
      <c r="L10" s="44" t="n">
        <f aca="false">Payroll!L21</f>
        <v>15805.5</v>
      </c>
      <c r="M10" s="44" t="n">
        <f aca="false">Payroll!M21</f>
        <v>15805.5</v>
      </c>
      <c r="N10" s="44" t="n">
        <f aca="false">Payroll!N21</f>
        <v>15805.5</v>
      </c>
      <c r="O10" s="44" t="n">
        <f aca="false">Payroll!O21</f>
        <v>16279.665</v>
      </c>
      <c r="P10" s="44" t="n">
        <f aca="false">Payroll!P21</f>
        <v>16279.665</v>
      </c>
      <c r="Q10" s="44" t="n">
        <f aca="false">Payroll!Q21</f>
        <v>16279.665</v>
      </c>
      <c r="R10" s="44" t="n">
        <f aca="false">Payroll!R21</f>
        <v>16279.665</v>
      </c>
      <c r="S10" s="44" t="n">
        <f aca="false">Payroll!S21</f>
        <v>16279.665</v>
      </c>
      <c r="T10" s="44" t="n">
        <f aca="false">Payroll!T21</f>
        <v>16279.665</v>
      </c>
      <c r="U10" s="44" t="n">
        <f aca="false">Payroll!U21</f>
        <v>16279.665</v>
      </c>
      <c r="V10" s="44" t="n">
        <f aca="false">Payroll!V21</f>
        <v>16279.665</v>
      </c>
      <c r="W10" s="44" t="n">
        <f aca="false">Payroll!W21</f>
        <v>16279.665</v>
      </c>
      <c r="X10" s="44" t="n">
        <f aca="false">Payroll!X21</f>
        <v>16279.665</v>
      </c>
      <c r="Y10" s="44" t="n">
        <f aca="false">Payroll!Y21</f>
        <v>16279.665</v>
      </c>
      <c r="Z10" s="44" t="n">
        <f aca="false">Payroll!Z21</f>
        <v>16279.665</v>
      </c>
      <c r="AA10" s="44" t="n">
        <f aca="false">Payroll!AA21</f>
        <v>20857.82445</v>
      </c>
      <c r="AB10" s="44" t="n">
        <f aca="false">Payroll!AB21</f>
        <v>20857.82445</v>
      </c>
      <c r="AC10" s="44" t="n">
        <f aca="false">Payroll!AC21</f>
        <v>20857.82445</v>
      </c>
      <c r="AD10" s="44" t="n">
        <f aca="false">Payroll!AD21</f>
        <v>20857.82445</v>
      </c>
      <c r="AE10" s="44" t="n">
        <f aca="false">Payroll!AE21</f>
        <v>20857.82445</v>
      </c>
      <c r="AF10" s="44" t="n">
        <f aca="false">Payroll!AF21</f>
        <v>20857.82445</v>
      </c>
      <c r="AG10" s="44" t="n">
        <f aca="false">Payroll!AG21</f>
        <v>20857.82445</v>
      </c>
      <c r="AH10" s="44" t="n">
        <f aca="false">Payroll!AH21</f>
        <v>20857.82445</v>
      </c>
      <c r="AI10" s="44" t="n">
        <f aca="false">Payroll!AI21</f>
        <v>20857.82445</v>
      </c>
      <c r="AJ10" s="44" t="n">
        <f aca="false">Payroll!AJ21</f>
        <v>20857.82445</v>
      </c>
      <c r="AK10" s="44" t="n">
        <f aca="false">Payroll!AK21</f>
        <v>20857.82445</v>
      </c>
      <c r="AL10" s="44" t="n">
        <f aca="false">Payroll!AL21</f>
        <v>20857.82445</v>
      </c>
      <c r="AM10" s="44" t="n">
        <f aca="false">Payroll!AM21</f>
        <v>21483.5591835</v>
      </c>
      <c r="AN10" s="44" t="n">
        <f aca="false">Payroll!AN21</f>
        <v>21483.5591835</v>
      </c>
      <c r="AO10" s="44" t="n">
        <f aca="false">Payroll!AO21</f>
        <v>21483.5591835</v>
      </c>
      <c r="AP10" s="44" t="n">
        <f aca="false">Payroll!AP21</f>
        <v>21483.5591835</v>
      </c>
      <c r="AQ10" s="44" t="n">
        <f aca="false">Payroll!AQ21</f>
        <v>21483.5591835</v>
      </c>
      <c r="AR10" s="44" t="n">
        <f aca="false">Payroll!AR21</f>
        <v>21483.5591835</v>
      </c>
      <c r="AS10" s="44" t="n">
        <f aca="false">Payroll!AS21</f>
        <v>21483.5591835</v>
      </c>
      <c r="AT10" s="44" t="n">
        <f aca="false">Payroll!AT21</f>
        <v>21483.5591835</v>
      </c>
      <c r="AU10" s="44" t="n">
        <f aca="false">Payroll!AU21</f>
        <v>21483.5591835</v>
      </c>
      <c r="AV10" s="44" t="n">
        <f aca="false">Payroll!AV21</f>
        <v>21483.5591835</v>
      </c>
      <c r="AW10" s="44" t="n">
        <f aca="false">Payroll!AW21</f>
        <v>21483.5591835</v>
      </c>
      <c r="AX10" s="44" t="n">
        <f aca="false">Payroll!AX21</f>
        <v>21483.5591835</v>
      </c>
      <c r="AY10" s="44" t="n">
        <f aca="false">Payroll!AY21</f>
        <v>22128.065959005</v>
      </c>
      <c r="AZ10" s="44" t="n">
        <f aca="false">Payroll!AZ21</f>
        <v>22128.065959005</v>
      </c>
      <c r="BA10" s="44" t="n">
        <f aca="false">Payroll!BA21</f>
        <v>22128.065959005</v>
      </c>
      <c r="BB10" s="44" t="n">
        <f aca="false">Payroll!BB21</f>
        <v>22128.065959005</v>
      </c>
      <c r="BC10" s="44" t="n">
        <f aca="false">Payroll!BC21</f>
        <v>22128.065959005</v>
      </c>
      <c r="BD10" s="44" t="n">
        <f aca="false">Payroll!BD21</f>
        <v>22128.065959005</v>
      </c>
      <c r="BE10" s="44" t="n">
        <f aca="false">Payroll!BE21</f>
        <v>22128.065959005</v>
      </c>
      <c r="BF10" s="44" t="n">
        <f aca="false">Payroll!BF21</f>
        <v>22128.065959005</v>
      </c>
      <c r="BG10" s="44" t="n">
        <f aca="false">Payroll!BG21</f>
        <v>22128.065959005</v>
      </c>
      <c r="BH10" s="44" t="n">
        <f aca="false">Payroll!BH21</f>
        <v>22128.065959005</v>
      </c>
      <c r="BI10" s="44" t="n">
        <f aca="false">Payroll!BI21</f>
        <v>22128.065959005</v>
      </c>
      <c r="BJ10" s="44" t="n">
        <f aca="false">Payroll!BJ21</f>
        <v>22128.065959005</v>
      </c>
      <c r="BK10" s="43" t="n">
        <f aca="false">SUMIF($C$5:$BJ$5,BK$5,$C10:$BJ10)</f>
        <v>170005.5</v>
      </c>
      <c r="BL10" s="43" t="n">
        <f aca="false">SUMIF($C$5:$BJ$5,BL$5,$C10:$BJ10)</f>
        <v>195355.98</v>
      </c>
      <c r="BM10" s="43" t="n">
        <f aca="false">SUMIF($C$5:$BJ$5,BM$5,$C10:$BJ10)</f>
        <v>250293.8934</v>
      </c>
      <c r="BN10" s="43" t="n">
        <f aca="false">SUMIF($C$5:$BJ$5,BN$5,$C10:$BJ10)</f>
        <v>257802.710202</v>
      </c>
      <c r="BO10" s="43" t="n">
        <f aca="false">SUMIF($C$5:$BJ$5,BO$5,$C10:$BJ10)</f>
        <v>265536.79150806</v>
      </c>
    </row>
    <row r="11" customFormat="false" ht="15" hidden="false" customHeight="false" outlineLevel="0" collapsed="false">
      <c r="A11" s="18" t="s">
        <v>275</v>
      </c>
      <c r="B11" s="2"/>
      <c r="C11" s="44" t="n">
        <f aca="false">OpEx!C28</f>
        <v>5753</v>
      </c>
      <c r="D11" s="44" t="n">
        <f aca="false">OpEx!D28</f>
        <v>5963.6</v>
      </c>
      <c r="E11" s="44" t="n">
        <f aca="false">OpEx!E28</f>
        <v>6338</v>
      </c>
      <c r="F11" s="44" t="n">
        <f aca="false">OpEx!F28</f>
        <v>6665.6</v>
      </c>
      <c r="G11" s="44" t="n">
        <f aca="false">OpEx!G28</f>
        <v>7016.6</v>
      </c>
      <c r="H11" s="44" t="n">
        <f aca="false">OpEx!H28</f>
        <v>7274</v>
      </c>
      <c r="I11" s="44" t="n">
        <f aca="false">OpEx!I28</f>
        <v>7157</v>
      </c>
      <c r="J11" s="44" t="n">
        <f aca="false">OpEx!J28</f>
        <v>7040</v>
      </c>
      <c r="K11" s="44" t="n">
        <f aca="false">OpEx!K28</f>
        <v>7040</v>
      </c>
      <c r="L11" s="44" t="n">
        <f aca="false">OpEx!L28</f>
        <v>7040</v>
      </c>
      <c r="M11" s="44" t="n">
        <f aca="false">OpEx!M28</f>
        <v>6923</v>
      </c>
      <c r="N11" s="44" t="n">
        <f aca="false">OpEx!N28</f>
        <v>6923</v>
      </c>
      <c r="O11" s="44" t="n">
        <f aca="false">OpEx!O28</f>
        <v>7141.886</v>
      </c>
      <c r="P11" s="44" t="n">
        <f aca="false">OpEx!P28</f>
        <v>7141.886</v>
      </c>
      <c r="Q11" s="44" t="n">
        <f aca="false">OpEx!Q28</f>
        <v>7397.54</v>
      </c>
      <c r="R11" s="44" t="n">
        <f aca="false">OpEx!R28</f>
        <v>7525.367</v>
      </c>
      <c r="S11" s="44" t="n">
        <f aca="false">OpEx!S28</f>
        <v>7653.194</v>
      </c>
      <c r="T11" s="44" t="n">
        <f aca="false">OpEx!T28</f>
        <v>7653.194</v>
      </c>
      <c r="U11" s="44" t="n">
        <f aca="false">OpEx!U28</f>
        <v>7525.367</v>
      </c>
      <c r="V11" s="44" t="n">
        <f aca="false">OpEx!V28</f>
        <v>7397.54</v>
      </c>
      <c r="W11" s="44" t="n">
        <f aca="false">OpEx!W28</f>
        <v>7397.54</v>
      </c>
      <c r="X11" s="44" t="n">
        <f aca="false">OpEx!X28</f>
        <v>7397.54</v>
      </c>
      <c r="Y11" s="44" t="n">
        <f aca="false">OpEx!Y28</f>
        <v>7269.713</v>
      </c>
      <c r="Z11" s="44" t="n">
        <f aca="false">OpEx!Z28</f>
        <v>7269.713</v>
      </c>
      <c r="AA11" s="44" t="n">
        <f aca="false">OpEx!AA28</f>
        <v>7500.8305796</v>
      </c>
      <c r="AB11" s="44" t="n">
        <f aca="false">OpEx!AB28</f>
        <v>7500.8305796</v>
      </c>
      <c r="AC11" s="44" t="n">
        <f aca="false">OpEx!AC28</f>
        <v>7780.230644</v>
      </c>
      <c r="AD11" s="44" t="n">
        <f aca="false">OpEx!AD28</f>
        <v>7919.9306762</v>
      </c>
      <c r="AE11" s="44" t="n">
        <f aca="false">OpEx!AE28</f>
        <v>8059.6307084</v>
      </c>
      <c r="AF11" s="44" t="n">
        <f aca="false">OpEx!AF28</f>
        <v>8059.6307084</v>
      </c>
      <c r="AG11" s="44" t="n">
        <f aca="false">OpEx!AG28</f>
        <v>7919.9306762</v>
      </c>
      <c r="AH11" s="44" t="n">
        <f aca="false">OpEx!AH28</f>
        <v>7780.230644</v>
      </c>
      <c r="AI11" s="44" t="n">
        <f aca="false">OpEx!AI28</f>
        <v>7780.230644</v>
      </c>
      <c r="AJ11" s="44" t="n">
        <f aca="false">OpEx!AJ28</f>
        <v>7780.230644</v>
      </c>
      <c r="AK11" s="44" t="n">
        <f aca="false">OpEx!AK28</f>
        <v>7640.5306118</v>
      </c>
      <c r="AL11" s="44" t="n">
        <f aca="false">OpEx!AL28</f>
        <v>7640.5306118</v>
      </c>
      <c r="AM11" s="44" t="n">
        <f aca="false">OpEx!AM28</f>
        <v>7884.86577779288</v>
      </c>
      <c r="AN11" s="44" t="n">
        <f aca="false">OpEx!AN28</f>
        <v>7884.86577779288</v>
      </c>
      <c r="AO11" s="44" t="n">
        <f aca="false">OpEx!AO28</f>
        <v>8190.3156531032</v>
      </c>
      <c r="AP11" s="44" t="n">
        <f aca="false">OpEx!AP28</f>
        <v>8343.04059075836</v>
      </c>
      <c r="AQ11" s="44" t="n">
        <f aca="false">OpEx!AQ28</f>
        <v>8495.76552841352</v>
      </c>
      <c r="AR11" s="44" t="n">
        <f aca="false">OpEx!AR28</f>
        <v>8495.76552841352</v>
      </c>
      <c r="AS11" s="44" t="n">
        <f aca="false">OpEx!AS28</f>
        <v>8343.04059075836</v>
      </c>
      <c r="AT11" s="44" t="n">
        <f aca="false">OpEx!AT28</f>
        <v>8190.3156531032</v>
      </c>
      <c r="AU11" s="44" t="n">
        <f aca="false">OpEx!AU28</f>
        <v>8190.3156531032</v>
      </c>
      <c r="AV11" s="44" t="n">
        <f aca="false">OpEx!AV28</f>
        <v>8190.3156531032</v>
      </c>
      <c r="AW11" s="44" t="n">
        <f aca="false">OpEx!AW28</f>
        <v>8037.59071544804</v>
      </c>
      <c r="AX11" s="44" t="n">
        <f aca="false">OpEx!AX28</f>
        <v>8037.59071544804</v>
      </c>
      <c r="AY11" s="44" t="n">
        <f aca="false">OpEx!AY28</f>
        <v>8296.22951615268</v>
      </c>
      <c r="AZ11" s="44" t="n">
        <f aca="false">OpEx!AZ28</f>
        <v>8296.22951615268</v>
      </c>
      <c r="BA11" s="44" t="n">
        <f aca="false">OpEx!BA28</f>
        <v>8630.26708383632</v>
      </c>
      <c r="BB11" s="44" t="n">
        <f aca="false">OpEx!BB28</f>
        <v>8797.28586767813</v>
      </c>
      <c r="BC11" s="44" t="n">
        <f aca="false">OpEx!BC28</f>
        <v>8964.30465151995</v>
      </c>
      <c r="BD11" s="44" t="n">
        <f aca="false">OpEx!BD28</f>
        <v>8964.30465151995</v>
      </c>
      <c r="BE11" s="44" t="n">
        <f aca="false">OpEx!BE28</f>
        <v>8797.28586767813</v>
      </c>
      <c r="BF11" s="44" t="n">
        <f aca="false">OpEx!BF28</f>
        <v>8630.26708383632</v>
      </c>
      <c r="BG11" s="44" t="n">
        <f aca="false">OpEx!BG28</f>
        <v>8630.26708383632</v>
      </c>
      <c r="BH11" s="44" t="n">
        <f aca="false">OpEx!BH28</f>
        <v>8630.26708383632</v>
      </c>
      <c r="BI11" s="44" t="n">
        <f aca="false">OpEx!BI28</f>
        <v>8463.2482999945</v>
      </c>
      <c r="BJ11" s="44" t="n">
        <f aca="false">OpEx!BJ28</f>
        <v>8463.2482999945</v>
      </c>
      <c r="BK11" s="43" t="n">
        <f aca="false">SUMIF($C$5:$BJ$5,BK$5,$C11:$BJ11)</f>
        <v>81133.8</v>
      </c>
      <c r="BL11" s="43" t="n">
        <f aca="false">SUMIF($C$5:$BJ$5,BL$5,$C11:$BJ11)</f>
        <v>88770.48</v>
      </c>
      <c r="BM11" s="43" t="n">
        <f aca="false">SUMIF($C$5:$BJ$5,BM$5,$C11:$BJ11)</f>
        <v>93362.767728</v>
      </c>
      <c r="BN11" s="43" t="n">
        <f aca="false">SUMIF($C$5:$BJ$5,BN$5,$C11:$BJ11)</f>
        <v>98283.7878372384</v>
      </c>
      <c r="BO11" s="43" t="n">
        <f aca="false">SUMIF($C$5:$BJ$5,BO$5,$C11:$BJ11)</f>
        <v>103563.205006036</v>
      </c>
    </row>
    <row r="12" customFormat="false" ht="15" hidden="false" customHeight="false" outlineLevel="0" collapsed="false">
      <c r="A12" s="39" t="s">
        <v>276</v>
      </c>
      <c r="B12" s="40"/>
      <c r="C12" s="41" t="n">
        <f aca="false">C9-C10-C11</f>
        <v>-6030.5</v>
      </c>
      <c r="D12" s="41" t="n">
        <f aca="false">D9-D10-D11</f>
        <v>-3790.85</v>
      </c>
      <c r="E12" s="41" t="n">
        <f aca="false">E9-E10-E11</f>
        <v>190.75</v>
      </c>
      <c r="F12" s="41" t="n">
        <f aca="false">F9-F10-F11</f>
        <v>3674.65</v>
      </c>
      <c r="G12" s="41" t="n">
        <f aca="false">G9-G10-G11</f>
        <v>7407.4</v>
      </c>
      <c r="H12" s="41" t="n">
        <f aca="false">H9-H10-H11</f>
        <v>10144.75</v>
      </c>
      <c r="I12" s="41" t="n">
        <f aca="false">I9-I10-I11</f>
        <v>5623.75</v>
      </c>
      <c r="J12" s="41" t="n">
        <f aca="false">J9-J10-J11</f>
        <v>4379.5</v>
      </c>
      <c r="K12" s="41" t="n">
        <f aca="false">K9-K10-K11</f>
        <v>4379.5</v>
      </c>
      <c r="L12" s="41" t="n">
        <f aca="false">L9-L10-L11</f>
        <v>4379.5</v>
      </c>
      <c r="M12" s="41" t="n">
        <f aca="false">M9-M10-M11</f>
        <v>3135.25</v>
      </c>
      <c r="N12" s="41" t="n">
        <f aca="false">N9-N10-N11</f>
        <v>3135.25</v>
      </c>
      <c r="O12" s="41" t="n">
        <f aca="false">O9-O10-O11</f>
        <v>3421.1065</v>
      </c>
      <c r="P12" s="41" t="n">
        <f aca="false">P9-P10-P11</f>
        <v>3421.1065</v>
      </c>
      <c r="Q12" s="41" t="n">
        <f aca="false">Q9-Q10-Q11</f>
        <v>6147.97</v>
      </c>
      <c r="R12" s="41" t="n">
        <f aca="false">R9-R10-R11</f>
        <v>7511.40175</v>
      </c>
      <c r="S12" s="41" t="n">
        <f aca="false">S9-S10-S11</f>
        <v>8874.8335</v>
      </c>
      <c r="T12" s="41" t="n">
        <f aca="false">T9-T10-T11</f>
        <v>8874.8335</v>
      </c>
      <c r="U12" s="41" t="n">
        <f aca="false">U9-U10-U11</f>
        <v>7511.40175</v>
      </c>
      <c r="V12" s="41" t="n">
        <f aca="false">V9-V10-V11</f>
        <v>6147.97</v>
      </c>
      <c r="W12" s="41" t="n">
        <f aca="false">W9-W10-W11</f>
        <v>6147.97</v>
      </c>
      <c r="X12" s="41" t="n">
        <f aca="false">X9-X10-X11</f>
        <v>6147.97</v>
      </c>
      <c r="Y12" s="41" t="n">
        <f aca="false">Y9-Y10-Y11</f>
        <v>4784.53825</v>
      </c>
      <c r="Z12" s="41" t="n">
        <f aca="false">Z9-Z10-Z11</f>
        <v>4784.53825</v>
      </c>
      <c r="AA12" s="41" t="n">
        <f aca="false">AA9-AA10-AA11</f>
        <v>1057.1599129</v>
      </c>
      <c r="AB12" s="41" t="n">
        <f aca="false">AB9-AB10-AB11</f>
        <v>1057.1599129</v>
      </c>
      <c r="AC12" s="41" t="n">
        <f aca="false">AC9-AC10-AC11</f>
        <v>4046.183731</v>
      </c>
      <c r="AD12" s="41" t="n">
        <f aca="false">AD9-AD10-AD11</f>
        <v>5540.69564005</v>
      </c>
      <c r="AE12" s="41" t="n">
        <f aca="false">AE9-AE10-AE11</f>
        <v>7035.2075491</v>
      </c>
      <c r="AF12" s="41" t="n">
        <f aca="false">AF9-AF10-AF11</f>
        <v>7035.2075491</v>
      </c>
      <c r="AG12" s="41" t="n">
        <f aca="false">AG9-AG10-AG11</f>
        <v>5540.69564005</v>
      </c>
      <c r="AH12" s="41" t="n">
        <f aca="false">AH9-AH10-AH11</f>
        <v>4046.183731</v>
      </c>
      <c r="AI12" s="41" t="n">
        <f aca="false">AI9-AI10-AI11</f>
        <v>4046.183731</v>
      </c>
      <c r="AJ12" s="41" t="n">
        <f aca="false">AJ9-AJ10-AJ11</f>
        <v>4046.183731</v>
      </c>
      <c r="AK12" s="41" t="n">
        <f aca="false">AK9-AK10-AK11</f>
        <v>2551.67182195</v>
      </c>
      <c r="AL12" s="41" t="n">
        <f aca="false">AL9-AL10-AL11</f>
        <v>2551.67182195</v>
      </c>
      <c r="AM12" s="41" t="n">
        <f aca="false">AM9-AM10-AM11</f>
        <v>2877.78646286062</v>
      </c>
      <c r="AN12" s="41" t="n">
        <f aca="false">AN9-AN10-AN11</f>
        <v>2877.78646286062</v>
      </c>
      <c r="AO12" s="41" t="n">
        <f aca="false">AO9-AO10-AO11</f>
        <v>6155.24896801181</v>
      </c>
      <c r="AP12" s="41" t="n">
        <f aca="false">AP9-AP10-AP11</f>
        <v>7793.9802205874</v>
      </c>
      <c r="AQ12" s="41" t="n">
        <f aca="false">AQ9-AQ10-AQ11</f>
        <v>9432.71147316299</v>
      </c>
      <c r="AR12" s="41" t="n">
        <f aca="false">AR9-AR10-AR11</f>
        <v>9432.71147316299</v>
      </c>
      <c r="AS12" s="41" t="n">
        <f aca="false">AS9-AS10-AS11</f>
        <v>7793.9802205874</v>
      </c>
      <c r="AT12" s="41" t="n">
        <f aca="false">AT9-AT10-AT11</f>
        <v>6155.24896801181</v>
      </c>
      <c r="AU12" s="41" t="n">
        <f aca="false">AU9-AU10-AU11</f>
        <v>6155.24896801181</v>
      </c>
      <c r="AV12" s="41" t="n">
        <f aca="false">AV9-AV10-AV11</f>
        <v>6155.24896801181</v>
      </c>
      <c r="AW12" s="41" t="n">
        <f aca="false">AW9-AW10-AW11</f>
        <v>4516.51771543621</v>
      </c>
      <c r="AX12" s="41" t="n">
        <f aca="false">AX9-AX10-AX11</f>
        <v>4516.51771543621</v>
      </c>
      <c r="AY12" s="41" t="n">
        <f aca="false">AY9-AY10-AY11</f>
        <v>4936.42544251382</v>
      </c>
      <c r="AZ12" s="41" t="n">
        <f aca="false">AZ9-AZ10-AZ11</f>
        <v>4936.42544251382</v>
      </c>
      <c r="BA12" s="41" t="n">
        <f aca="false">BA9-BA10-BA11</f>
        <v>8531.35686568259</v>
      </c>
      <c r="BB12" s="41" t="n">
        <f aca="false">BB9-BB10-BB11</f>
        <v>10328.822577267</v>
      </c>
      <c r="BC12" s="41" t="n">
        <f aca="false">BC9-BC10-BC11</f>
        <v>12126.2882888513</v>
      </c>
      <c r="BD12" s="41" t="n">
        <f aca="false">BD9-BD10-BD11</f>
        <v>12126.2882888513</v>
      </c>
      <c r="BE12" s="41" t="n">
        <f aca="false">BE9-BE10-BE11</f>
        <v>10328.822577267</v>
      </c>
      <c r="BF12" s="41" t="n">
        <f aca="false">BF9-BF10-BF11</f>
        <v>8531.35686568259</v>
      </c>
      <c r="BG12" s="41" t="n">
        <f aca="false">BG9-BG10-BG11</f>
        <v>8531.35686568259</v>
      </c>
      <c r="BH12" s="41" t="n">
        <f aca="false">BH9-BH10-BH11</f>
        <v>8531.35686568259</v>
      </c>
      <c r="BI12" s="41" t="n">
        <f aca="false">BI9-BI10-BI11</f>
        <v>6733.89115409821</v>
      </c>
      <c r="BJ12" s="41" t="n">
        <f aca="false">BJ9-BJ10-BJ11</f>
        <v>6733.89115409821</v>
      </c>
      <c r="BK12" s="42" t="n">
        <f aca="false">SUMIF($C$5:$BJ$5,BK$5,$C12:$BJ12)</f>
        <v>36628.95</v>
      </c>
      <c r="BL12" s="42" t="n">
        <f aca="false">SUMIF($C$5:$BJ$5,BL$5,$C12:$BJ12)</f>
        <v>73775.64</v>
      </c>
      <c r="BM12" s="42" t="n">
        <f aca="false">SUMIF($C$5:$BJ$5,BM$5,$C12:$BJ12)</f>
        <v>48554.204772</v>
      </c>
      <c r="BN12" s="42" t="n">
        <f aca="false">SUMIF($C$5:$BJ$5,BN$5,$C12:$BJ12)</f>
        <v>73862.9876161417</v>
      </c>
      <c r="BO12" s="42" t="n">
        <f aca="false">SUMIF($C$5:$BJ$5,BO$5,$C12:$BJ12)</f>
        <v>102376.282388191</v>
      </c>
    </row>
    <row r="13" customFormat="false" ht="15" hidden="false" customHeight="false" outlineLevel="0" collapsed="false">
      <c r="A13" s="18" t="s">
        <v>277</v>
      </c>
      <c r="B13" s="2"/>
      <c r="C13" s="44" t="n">
        <f aca="false">OpEx!C38</f>
        <v>1327.38095238095</v>
      </c>
      <c r="D13" s="44" t="n">
        <f aca="false">OpEx!D38</f>
        <v>1327.38095238095</v>
      </c>
      <c r="E13" s="44" t="n">
        <f aca="false">OpEx!E38</f>
        <v>1327.38095238095</v>
      </c>
      <c r="F13" s="44" t="n">
        <f aca="false">OpEx!F38</f>
        <v>1327.38095238095</v>
      </c>
      <c r="G13" s="44" t="n">
        <f aca="false">OpEx!G38</f>
        <v>1327.38095238095</v>
      </c>
      <c r="H13" s="44" t="n">
        <f aca="false">OpEx!H38</f>
        <v>1327.38095238095</v>
      </c>
      <c r="I13" s="44" t="n">
        <f aca="false">OpEx!I38</f>
        <v>1327.38095238095</v>
      </c>
      <c r="J13" s="44" t="n">
        <f aca="false">OpEx!J38</f>
        <v>1327.38095238095</v>
      </c>
      <c r="K13" s="44" t="n">
        <f aca="false">OpEx!K38</f>
        <v>1327.38095238095</v>
      </c>
      <c r="L13" s="44" t="n">
        <f aca="false">OpEx!L38</f>
        <v>1327.38095238095</v>
      </c>
      <c r="M13" s="44" t="n">
        <f aca="false">OpEx!M38</f>
        <v>1327.38095238095</v>
      </c>
      <c r="N13" s="44" t="n">
        <f aca="false">OpEx!N38</f>
        <v>1327.38095238095</v>
      </c>
      <c r="O13" s="44" t="n">
        <f aca="false">OpEx!O38</f>
        <v>1327.38095238095</v>
      </c>
      <c r="P13" s="44" t="n">
        <f aca="false">OpEx!P38</f>
        <v>1327.38095238095</v>
      </c>
      <c r="Q13" s="44" t="n">
        <f aca="false">OpEx!Q38</f>
        <v>1327.38095238095</v>
      </c>
      <c r="R13" s="44" t="n">
        <f aca="false">OpEx!R38</f>
        <v>1327.38095238095</v>
      </c>
      <c r="S13" s="44" t="n">
        <f aca="false">OpEx!S38</f>
        <v>1327.38095238095</v>
      </c>
      <c r="T13" s="44" t="n">
        <f aca="false">OpEx!T38</f>
        <v>1327.38095238095</v>
      </c>
      <c r="U13" s="44" t="n">
        <f aca="false">OpEx!U38</f>
        <v>1327.38095238095</v>
      </c>
      <c r="V13" s="44" t="n">
        <f aca="false">OpEx!V38</f>
        <v>1327.38095238095</v>
      </c>
      <c r="W13" s="44" t="n">
        <f aca="false">OpEx!W38</f>
        <v>1327.38095238095</v>
      </c>
      <c r="X13" s="44" t="n">
        <f aca="false">OpEx!X38</f>
        <v>1327.38095238095</v>
      </c>
      <c r="Y13" s="44" t="n">
        <f aca="false">OpEx!Y38</f>
        <v>1327.38095238095</v>
      </c>
      <c r="Z13" s="44" t="n">
        <f aca="false">OpEx!Z38</f>
        <v>1327.38095238095</v>
      </c>
      <c r="AA13" s="44" t="n">
        <f aca="false">OpEx!AA38</f>
        <v>1327.38095238095</v>
      </c>
      <c r="AB13" s="44" t="n">
        <f aca="false">OpEx!AB38</f>
        <v>1327.38095238095</v>
      </c>
      <c r="AC13" s="44" t="n">
        <f aca="false">OpEx!AC38</f>
        <v>1327.38095238095</v>
      </c>
      <c r="AD13" s="44" t="n">
        <f aca="false">OpEx!AD38</f>
        <v>1327.38095238095</v>
      </c>
      <c r="AE13" s="44" t="n">
        <f aca="false">OpEx!AE38</f>
        <v>1327.38095238095</v>
      </c>
      <c r="AF13" s="44" t="n">
        <f aca="false">OpEx!AF38</f>
        <v>1327.38095238095</v>
      </c>
      <c r="AG13" s="44" t="n">
        <f aca="false">OpEx!AG38</f>
        <v>1327.38095238095</v>
      </c>
      <c r="AH13" s="44" t="n">
        <f aca="false">OpEx!AH38</f>
        <v>1327.38095238095</v>
      </c>
      <c r="AI13" s="44" t="n">
        <f aca="false">OpEx!AI38</f>
        <v>1327.38095238095</v>
      </c>
      <c r="AJ13" s="44" t="n">
        <f aca="false">OpEx!AJ38</f>
        <v>1327.38095238095</v>
      </c>
      <c r="AK13" s="44" t="n">
        <f aca="false">OpEx!AK38</f>
        <v>1327.38095238095</v>
      </c>
      <c r="AL13" s="44" t="n">
        <f aca="false">OpEx!AL38</f>
        <v>1327.38095238095</v>
      </c>
      <c r="AM13" s="44" t="n">
        <f aca="false">OpEx!AM38</f>
        <v>1160.71428571429</v>
      </c>
      <c r="AN13" s="44" t="n">
        <f aca="false">OpEx!AN38</f>
        <v>1160.71428571429</v>
      </c>
      <c r="AO13" s="44" t="n">
        <f aca="false">OpEx!AO38</f>
        <v>1160.71428571429</v>
      </c>
      <c r="AP13" s="44" t="n">
        <f aca="false">OpEx!AP38</f>
        <v>1160.71428571429</v>
      </c>
      <c r="AQ13" s="44" t="n">
        <f aca="false">OpEx!AQ38</f>
        <v>1160.71428571429</v>
      </c>
      <c r="AR13" s="44" t="n">
        <f aca="false">OpEx!AR38</f>
        <v>1160.71428571429</v>
      </c>
      <c r="AS13" s="44" t="n">
        <f aca="false">OpEx!AS38</f>
        <v>1160.71428571429</v>
      </c>
      <c r="AT13" s="44" t="n">
        <f aca="false">OpEx!AT38</f>
        <v>1160.71428571429</v>
      </c>
      <c r="AU13" s="44" t="n">
        <f aca="false">OpEx!AU38</f>
        <v>1160.71428571429</v>
      </c>
      <c r="AV13" s="44" t="n">
        <f aca="false">OpEx!AV38</f>
        <v>1160.71428571429</v>
      </c>
      <c r="AW13" s="44" t="n">
        <f aca="false">OpEx!AW38</f>
        <v>1160.71428571429</v>
      </c>
      <c r="AX13" s="44" t="n">
        <f aca="false">OpEx!AX38</f>
        <v>1160.71428571429</v>
      </c>
      <c r="AY13" s="44" t="n">
        <f aca="false">OpEx!AY38</f>
        <v>1160.71428571429</v>
      </c>
      <c r="AZ13" s="44" t="n">
        <f aca="false">OpEx!AZ38</f>
        <v>1160.71428571429</v>
      </c>
      <c r="BA13" s="44" t="n">
        <f aca="false">OpEx!BA38</f>
        <v>1160.71428571429</v>
      </c>
      <c r="BB13" s="44" t="n">
        <f aca="false">OpEx!BB38</f>
        <v>1160.71428571429</v>
      </c>
      <c r="BC13" s="44" t="n">
        <f aca="false">OpEx!BC38</f>
        <v>1160.71428571429</v>
      </c>
      <c r="BD13" s="44" t="n">
        <f aca="false">OpEx!BD38</f>
        <v>1160.71428571429</v>
      </c>
      <c r="BE13" s="44" t="n">
        <f aca="false">OpEx!BE38</f>
        <v>1160.71428571429</v>
      </c>
      <c r="BF13" s="44" t="n">
        <f aca="false">OpEx!BF38</f>
        <v>1160.71428571429</v>
      </c>
      <c r="BG13" s="44" t="n">
        <f aca="false">OpEx!BG38</f>
        <v>1160.71428571429</v>
      </c>
      <c r="BH13" s="44" t="n">
        <f aca="false">OpEx!BH38</f>
        <v>1160.71428571429</v>
      </c>
      <c r="BI13" s="44" t="n">
        <f aca="false">OpEx!BI38</f>
        <v>1160.71428571429</v>
      </c>
      <c r="BJ13" s="44" t="n">
        <f aca="false">OpEx!BJ38</f>
        <v>1160.71428571429</v>
      </c>
      <c r="BK13" s="43" t="n">
        <f aca="false">SUMIF($C$5:$BJ$5,BK$5,$C13:$BJ13)</f>
        <v>15928.5714285714</v>
      </c>
      <c r="BL13" s="43" t="n">
        <f aca="false">SUMIF($C$5:$BJ$5,BL$5,$C13:$BJ13)</f>
        <v>15928.5714285714</v>
      </c>
      <c r="BM13" s="43" t="n">
        <f aca="false">SUMIF($C$5:$BJ$5,BM$5,$C13:$BJ13)</f>
        <v>15928.5714285714</v>
      </c>
      <c r="BN13" s="43" t="n">
        <f aca="false">SUMIF($C$5:$BJ$5,BN$5,$C13:$BJ13)</f>
        <v>13928.5714285714</v>
      </c>
      <c r="BO13" s="43" t="n">
        <f aca="false">SUMIF($C$5:$BJ$5,BO$5,$C13:$BJ13)</f>
        <v>13928.5714285714</v>
      </c>
    </row>
    <row r="14" customFormat="false" ht="15" hidden="false" customHeight="false" outlineLevel="0" collapsed="false">
      <c r="A14" s="18" t="s">
        <v>278</v>
      </c>
      <c r="B14" s="2"/>
      <c r="C14" s="44" t="n">
        <f aca="false">INDEX(Loan!$E$14:$E$373,C4)</f>
        <v>825</v>
      </c>
      <c r="D14" s="44" t="n">
        <f aca="false">INDEX(Loan!$E$14:$E$373,D4)</f>
        <v>817.914010435468</v>
      </c>
      <c r="E14" s="44" t="n">
        <f aca="false">INDEX(Loan!$E$14:$E$373,E4)</f>
        <v>810.774875949202</v>
      </c>
      <c r="F14" s="44" t="n">
        <f aca="false">INDEX(Loan!$E$14:$E$373,F4)</f>
        <v>803.58219795429</v>
      </c>
      <c r="G14" s="44" t="n">
        <f aca="false">INDEX(Loan!$E$14:$E$373,G4)</f>
        <v>796.335574874415</v>
      </c>
      <c r="H14" s="44" t="n">
        <f aca="false">INDEX(Loan!$E$14:$E$373,H4)</f>
        <v>789.034602121441</v>
      </c>
      <c r="I14" s="44" t="n">
        <f aca="false">INDEX(Loan!$E$14:$E$373,I4)</f>
        <v>781.67887207282</v>
      </c>
      <c r="J14" s="44" t="n">
        <f aca="false">INDEX(Loan!$E$14:$E$373,J4)</f>
        <v>774.267974048835</v>
      </c>
      <c r="K14" s="44" t="n">
        <f aca="false">INDEX(Loan!$E$14:$E$373,K4)</f>
        <v>766.801494289669</v>
      </c>
      <c r="L14" s="44" t="n">
        <f aca="false">INDEX(Loan!$E$14:$E$373,L4)</f>
        <v>759.27901593231</v>
      </c>
      <c r="M14" s="44" t="n">
        <f aca="false">INDEX(Loan!$E$14:$E$373,M4)</f>
        <v>751.70011898727</v>
      </c>
      <c r="N14" s="44" t="n">
        <f aca="false">INDEX(Loan!$E$14:$E$373,N4)</f>
        <v>744.064380315143</v>
      </c>
      <c r="O14" s="44" t="n">
        <f aca="false">INDEX(Loan!$E$14:$E$373,O4)</f>
        <v>736.371373602975</v>
      </c>
      <c r="P14" s="44" t="n">
        <f aca="false">INDEX(Loan!$E$14:$E$373,P4)</f>
        <v>728.620669340465</v>
      </c>
      <c r="Q14" s="44" t="n">
        <f aca="false">INDEX(Loan!$E$14:$E$373,Q4)</f>
        <v>720.811834795987</v>
      </c>
      <c r="R14" s="44" t="n">
        <f aca="false">INDEX(Loan!$E$14:$E$373,R4)</f>
        <v>712.944433992425</v>
      </c>
      <c r="S14" s="44" t="n">
        <f aca="false">INDEX(Loan!$E$14:$E$373,S4)</f>
        <v>705.018027682836</v>
      </c>
      <c r="T14" s="44" t="n">
        <f aca="false">INDEX(Loan!$E$14:$E$373,T4)</f>
        <v>697.032173325926</v>
      </c>
      <c r="U14" s="44" t="n">
        <f aca="false">INDEX(Loan!$E$14:$E$373,U4)</f>
        <v>688.986425061339</v>
      </c>
      <c r="V14" s="44" t="n">
        <f aca="false">INDEX(Loan!$E$14:$E$373,V4)</f>
        <v>680.880333684767</v>
      </c>
      <c r="W14" s="44" t="n">
        <f aca="false">INDEX(Loan!$E$14:$E$373,W4)</f>
        <v>672.713446622871</v>
      </c>
      <c r="X14" s="44" t="n">
        <f aca="false">INDEX(Loan!$E$14:$E$373,X4)</f>
        <v>664.48530790801</v>
      </c>
      <c r="Y14" s="44" t="n">
        <f aca="false">INDEX(Loan!$E$14:$E$373,Y4)</f>
        <v>656.195458152789</v>
      </c>
      <c r="Z14" s="44" t="n">
        <f aca="false">INDEX(Loan!$E$14:$E$373,Z4)</f>
        <v>647.843434524403</v>
      </c>
      <c r="AA14" s="44" t="n">
        <f aca="false">INDEX(Loan!$E$14:$E$373,AA4)</f>
        <v>639.428770718804</v>
      </c>
      <c r="AB14" s="44" t="n">
        <f aca="false">INDEX(Loan!$E$14:$E$373,AB4)</f>
        <v>630.950996934663</v>
      </c>
      <c r="AC14" s="44" t="n">
        <f aca="false">INDEX(Loan!$E$14:$E$373,AC4)</f>
        <v>622.409639847141</v>
      </c>
      <c r="AD14" s="44" t="n">
        <f aca="false">INDEX(Loan!$E$14:$E$373,AD4)</f>
        <v>613.804222581463</v>
      </c>
      <c r="AE14" s="44" t="n">
        <f aca="false">INDEX(Loan!$E$14:$E$373,AE4)</f>
        <v>605.134264686292</v>
      </c>
      <c r="AF14" s="44" t="n">
        <f aca="false">INDEX(Loan!$E$14:$E$373,AF4)</f>
        <v>596.399282106908</v>
      </c>
      <c r="AG14" s="44" t="n">
        <f aca="false">INDEX(Loan!$E$14:$E$373,AG4)</f>
        <v>587.598787158178</v>
      </c>
      <c r="AH14" s="44" t="n">
        <f aca="false">INDEX(Loan!$E$14:$E$373,AH4)</f>
        <v>578.732288497332</v>
      </c>
      <c r="AI14" s="44" t="n">
        <f aca="false">INDEX(Loan!$E$14:$E$373,AI4)</f>
        <v>569.79929109653</v>
      </c>
      <c r="AJ14" s="44" t="n">
        <f aca="false">INDEX(Loan!$E$14:$E$373,AJ4)</f>
        <v>560.799296215222</v>
      </c>
      <c r="AK14" s="44" t="n">
        <f aca="false">INDEX(Loan!$E$14:$E$373,AK4)</f>
        <v>551.731801372305</v>
      </c>
      <c r="AL14" s="44" t="n">
        <f aca="false">INDEX(Loan!$E$14:$E$373,AL4)</f>
        <v>542.596300318065</v>
      </c>
      <c r="AM14" s="44" t="n">
        <f aca="false">INDEX(Loan!$E$14:$E$373,AM4)</f>
        <v>533.392283005919</v>
      </c>
      <c r="AN14" s="44" t="n">
        <f aca="false">INDEX(Loan!$E$14:$E$373,AN4)</f>
        <v>524.119235563932</v>
      </c>
      <c r="AO14" s="44" t="n">
        <f aca="false">INDEX(Loan!$E$14:$E$373,AO4)</f>
        <v>514.776640266129</v>
      </c>
      <c r="AP14" s="44" t="n">
        <f aca="false">INDEX(Loan!$E$14:$E$373,AP4)</f>
        <v>505.363975503593</v>
      </c>
      <c r="AQ14" s="44" t="n">
        <f aca="false">INDEX(Loan!$E$14:$E$373,AQ4)</f>
        <v>495.880715755339</v>
      </c>
      <c r="AR14" s="44" t="n">
        <f aca="false">INDEX(Loan!$E$14:$E$373,AR4)</f>
        <v>486.326331558972</v>
      </c>
      <c r="AS14" s="44" t="n">
        <f aca="false">INDEX(Loan!$E$14:$E$373,AS4)</f>
        <v>476.700289481132</v>
      </c>
      <c r="AT14" s="44" t="n">
        <f aca="false">INDEX(Loan!$E$14:$E$373,AT4)</f>
        <v>467.002052087709</v>
      </c>
      <c r="AU14" s="44" t="n">
        <f aca="false">INDEX(Loan!$E$14:$E$373,AU4)</f>
        <v>457.231077913835</v>
      </c>
      <c r="AV14" s="44" t="n">
        <f aca="false">INDEX(Loan!$E$14:$E$373,AV4)</f>
        <v>447.386821433657</v>
      </c>
      <c r="AW14" s="44" t="n">
        <f aca="false">INDEX(Loan!$E$14:$E$373,AW4)</f>
        <v>437.468733029878</v>
      </c>
      <c r="AX14" s="44" t="n">
        <f aca="false">INDEX(Loan!$E$14:$E$373,AX4)</f>
        <v>427.47625896307</v>
      </c>
      <c r="AY14" s="44" t="n">
        <f aca="false">INDEX(Loan!$E$14:$E$373,AY4)</f>
        <v>417.408841340761</v>
      </c>
      <c r="AZ14" s="44" t="n">
        <f aca="false">INDEX(Loan!$E$14:$E$373,AZ4)</f>
        <v>407.265918086285</v>
      </c>
      <c r="BA14" s="44" t="n">
        <f aca="false">INDEX(Loan!$E$14:$E$373,BA4)</f>
        <v>397.0469229074</v>
      </c>
      <c r="BB14" s="44" t="n">
        <f aca="false">INDEX(Loan!$E$14:$E$373,BB4)</f>
        <v>386.751285264674</v>
      </c>
      <c r="BC14" s="44" t="n">
        <f aca="false">INDEX(Loan!$E$14:$E$373,BC4)</f>
        <v>376.378430339627</v>
      </c>
      <c r="BD14" s="44" t="n">
        <f aca="false">INDEX(Loan!$E$14:$E$373,BD4)</f>
        <v>365.927779002643</v>
      </c>
      <c r="BE14" s="44" t="n">
        <f aca="false">INDEX(Loan!$E$14:$E$373,BE4)</f>
        <v>355.398747780631</v>
      </c>
      <c r="BF14" s="44" t="n">
        <f aca="false">INDEX(Loan!$E$14:$E$373,BF4)</f>
        <v>344.790748824454</v>
      </c>
      <c r="BG14" s="44" t="n">
        <f aca="false">INDEX(Loan!$E$14:$E$373,BG4)</f>
        <v>334.103189876105</v>
      </c>
      <c r="BH14" s="44" t="n">
        <f aca="false">INDEX(Loan!$E$14:$E$373,BH4)</f>
        <v>323.335474235644</v>
      </c>
      <c r="BI14" s="44" t="n">
        <f aca="false">INDEX(Loan!$E$14:$E$373,BI4)</f>
        <v>312.48700072788</v>
      </c>
      <c r="BJ14" s="44" t="n">
        <f aca="false">INDEX(Loan!$E$14:$E$373,BJ4)</f>
        <v>301.557163668807</v>
      </c>
      <c r="BK14" s="43" t="n">
        <f aca="false">SUMIF($C$5:$BJ$5,BK$5,$C14:$BJ14)</f>
        <v>9420.43311698086</v>
      </c>
      <c r="BL14" s="43" t="n">
        <f aca="false">SUMIF($C$5:$BJ$5,BL$5,$C14:$BJ14)</f>
        <v>8311.90291869479</v>
      </c>
      <c r="BM14" s="43" t="n">
        <f aca="false">SUMIF($C$5:$BJ$5,BM$5,$C14:$BJ14)</f>
        <v>7099.3849415329</v>
      </c>
      <c r="BN14" s="43" t="n">
        <f aca="false">SUMIF($C$5:$BJ$5,BN$5,$C14:$BJ14)</f>
        <v>5773.12441456316</v>
      </c>
      <c r="BO14" s="43" t="n">
        <f aca="false">SUMIF($C$5:$BJ$5,BO$5,$C14:$BJ14)</f>
        <v>4322.45150205491</v>
      </c>
    </row>
    <row r="15" customFormat="false" ht="15" hidden="false" customHeight="false" outlineLevel="0" collapsed="false">
      <c r="A15" s="39" t="s">
        <v>279</v>
      </c>
      <c r="B15" s="40"/>
      <c r="C15" s="41" t="n">
        <f aca="false">C12-C13-C14</f>
        <v>-8182.88095238095</v>
      </c>
      <c r="D15" s="41" t="n">
        <f aca="false">D12-D13-D14</f>
        <v>-5936.14496281642</v>
      </c>
      <c r="E15" s="41" t="n">
        <f aca="false">E12-E13-E14</f>
        <v>-1947.40582833016</v>
      </c>
      <c r="F15" s="41" t="n">
        <f aca="false">F12-F13-F14</f>
        <v>1543.68684966476</v>
      </c>
      <c r="G15" s="41" t="n">
        <f aca="false">G12-G13-G14</f>
        <v>5283.68347274463</v>
      </c>
      <c r="H15" s="41" t="n">
        <f aca="false">H12-H13-H14</f>
        <v>8028.33444549761</v>
      </c>
      <c r="I15" s="41" t="n">
        <f aca="false">I12-I13-I14</f>
        <v>3514.69017554623</v>
      </c>
      <c r="J15" s="41" t="n">
        <f aca="false">J12-J13-J14</f>
        <v>2277.85107357021</v>
      </c>
      <c r="K15" s="41" t="n">
        <f aca="false">K12-K13-K14</f>
        <v>2285.31755332938</v>
      </c>
      <c r="L15" s="41" t="n">
        <f aca="false">L12-L13-L14</f>
        <v>2292.84003168674</v>
      </c>
      <c r="M15" s="41" t="n">
        <f aca="false">M12-M13-M14</f>
        <v>1056.16892863178</v>
      </c>
      <c r="N15" s="41" t="n">
        <f aca="false">N12-N13-N14</f>
        <v>1063.8046673039</v>
      </c>
      <c r="O15" s="41" t="n">
        <f aca="false">O12-O13-O14</f>
        <v>1357.35417401608</v>
      </c>
      <c r="P15" s="41" t="n">
        <f aca="false">P12-P13-P14</f>
        <v>1365.10487827859</v>
      </c>
      <c r="Q15" s="41" t="n">
        <f aca="false">Q12-Q13-Q14</f>
        <v>4099.77721282306</v>
      </c>
      <c r="R15" s="41" t="n">
        <f aca="false">R12-R13-R14</f>
        <v>5471.07636362663</v>
      </c>
      <c r="S15" s="41" t="n">
        <f aca="false">S12-S13-S14</f>
        <v>6842.43451993622</v>
      </c>
      <c r="T15" s="41" t="n">
        <f aca="false">T12-T13-T14</f>
        <v>6850.42037429313</v>
      </c>
      <c r="U15" s="41" t="n">
        <f aca="false">U12-U13-U14</f>
        <v>5495.03437255771</v>
      </c>
      <c r="V15" s="41" t="n">
        <f aca="false">V12-V13-V14</f>
        <v>4139.70871393428</v>
      </c>
      <c r="W15" s="41" t="n">
        <f aca="false">W12-W13-W14</f>
        <v>4147.87560099618</v>
      </c>
      <c r="X15" s="41" t="n">
        <f aca="false">X12-X13-X14</f>
        <v>4156.10373971104</v>
      </c>
      <c r="Y15" s="41" t="n">
        <f aca="false">Y12-Y13-Y14</f>
        <v>2800.96183946626</v>
      </c>
      <c r="Z15" s="41" t="n">
        <f aca="false">Z12-Z13-Z14</f>
        <v>2809.31386309465</v>
      </c>
      <c r="AA15" s="41" t="n">
        <f aca="false">AA12-AA13-AA14</f>
        <v>-909.649810199755</v>
      </c>
      <c r="AB15" s="41" t="n">
        <f aca="false">AB12-AB13-AB14</f>
        <v>-901.172036415614</v>
      </c>
      <c r="AC15" s="41" t="n">
        <f aca="false">AC12-AC13-AC14</f>
        <v>2096.39313877191</v>
      </c>
      <c r="AD15" s="41" t="n">
        <f aca="false">AD12-AD13-AD14</f>
        <v>3599.51046508759</v>
      </c>
      <c r="AE15" s="41" t="n">
        <f aca="false">AE12-AE13-AE14</f>
        <v>5102.69233203276</v>
      </c>
      <c r="AF15" s="41" t="n">
        <f aca="false">AF12-AF13-AF14</f>
        <v>5111.42731461214</v>
      </c>
      <c r="AG15" s="41" t="n">
        <f aca="false">AG12-AG13-AG14</f>
        <v>3625.71590051087</v>
      </c>
      <c r="AH15" s="41" t="n">
        <f aca="false">AH12-AH13-AH14</f>
        <v>2140.07049012172</v>
      </c>
      <c r="AI15" s="41" t="n">
        <f aca="false">AI12-AI13-AI14</f>
        <v>2149.00348752252</v>
      </c>
      <c r="AJ15" s="41" t="n">
        <f aca="false">AJ12-AJ13-AJ14</f>
        <v>2158.00348240383</v>
      </c>
      <c r="AK15" s="41" t="n">
        <f aca="false">AK12-AK13-AK14</f>
        <v>672.559068196747</v>
      </c>
      <c r="AL15" s="41" t="n">
        <f aca="false">AL12-AL13-AL14</f>
        <v>681.694569250987</v>
      </c>
      <c r="AM15" s="41" t="n">
        <f aca="false">AM12-AM13-AM14</f>
        <v>1183.67989414042</v>
      </c>
      <c r="AN15" s="41" t="n">
        <f aca="false">AN12-AN13-AN14</f>
        <v>1192.9529415824</v>
      </c>
      <c r="AO15" s="41" t="n">
        <f aca="false">AO12-AO13-AO14</f>
        <v>4479.75804203139</v>
      </c>
      <c r="AP15" s="41" t="n">
        <f aca="false">AP12-AP13-AP14</f>
        <v>6127.90195936952</v>
      </c>
      <c r="AQ15" s="41" t="n">
        <f aca="false">AQ12-AQ13-AQ14</f>
        <v>7776.11647169336</v>
      </c>
      <c r="AR15" s="41" t="n">
        <f aca="false">AR12-AR13-AR14</f>
        <v>7785.67085588973</v>
      </c>
      <c r="AS15" s="41" t="n">
        <f aca="false">AS12-AS13-AS14</f>
        <v>6156.56564539198</v>
      </c>
      <c r="AT15" s="41" t="n">
        <f aca="false">AT12-AT13-AT14</f>
        <v>4527.53263020981</v>
      </c>
      <c r="AU15" s="41" t="n">
        <f aca="false">AU12-AU13-AU14</f>
        <v>4537.30360438369</v>
      </c>
      <c r="AV15" s="41" t="n">
        <f aca="false">AV12-AV13-AV14</f>
        <v>4547.14786086386</v>
      </c>
      <c r="AW15" s="41" t="n">
        <f aca="false">AW12-AW13-AW14</f>
        <v>2918.33469669205</v>
      </c>
      <c r="AX15" s="41" t="n">
        <f aca="false">AX12-AX13-AX14</f>
        <v>2928.32717075886</v>
      </c>
      <c r="AY15" s="41" t="n">
        <f aca="false">AY12-AY13-AY14</f>
        <v>3358.30231545878</v>
      </c>
      <c r="AZ15" s="41" t="n">
        <f aca="false">AZ12-AZ13-AZ14</f>
        <v>3368.44523871325</v>
      </c>
      <c r="BA15" s="41" t="n">
        <f aca="false">BA12-BA13-BA14</f>
        <v>6973.59565706091</v>
      </c>
      <c r="BB15" s="41" t="n">
        <f aca="false">BB12-BB13-BB14</f>
        <v>8781.35700628801</v>
      </c>
      <c r="BC15" s="41" t="n">
        <f aca="false">BC12-BC13-BC14</f>
        <v>10589.1955727974</v>
      </c>
      <c r="BD15" s="41" t="n">
        <f aca="false">BD12-BD13-BD14</f>
        <v>10599.6462241344</v>
      </c>
      <c r="BE15" s="41" t="n">
        <f aca="false">BE12-BE13-BE14</f>
        <v>8812.70954377205</v>
      </c>
      <c r="BF15" s="41" t="n">
        <f aca="false">BF12-BF13-BF14</f>
        <v>7025.85183114385</v>
      </c>
      <c r="BG15" s="41" t="n">
        <f aca="false">BG12-BG13-BG14</f>
        <v>7036.5393900922</v>
      </c>
      <c r="BH15" s="41" t="n">
        <f aca="false">BH12-BH13-BH14</f>
        <v>7047.30710573266</v>
      </c>
      <c r="BI15" s="41" t="n">
        <f aca="false">BI12-BI13-BI14</f>
        <v>5260.68986765605</v>
      </c>
      <c r="BJ15" s="41" t="n">
        <f aca="false">BJ12-BJ13-BJ14</f>
        <v>5271.61970471512</v>
      </c>
      <c r="BK15" s="42" t="n">
        <f aca="false">SUMIF($C$5:$BJ$5,BK$5,$C15:$BJ15)</f>
        <v>11279.9454544477</v>
      </c>
      <c r="BL15" s="42" t="n">
        <f aca="false">SUMIF($C$5:$BJ$5,BL$5,$C15:$BJ15)</f>
        <v>49535.1656527338</v>
      </c>
      <c r="BM15" s="42" t="n">
        <f aca="false">SUMIF($C$5:$BJ$5,BM$5,$C15:$BJ15)</f>
        <v>25526.2484018957</v>
      </c>
      <c r="BN15" s="42" t="n">
        <f aca="false">SUMIF($C$5:$BJ$5,BN$5,$C15:$BJ15)</f>
        <v>54161.2917730071</v>
      </c>
      <c r="BO15" s="42" t="n">
        <f aca="false">SUMIF($C$5:$BJ$5,BO$5,$C15:$BJ15)</f>
        <v>84125.2594575647</v>
      </c>
    </row>
    <row r="16" customFormat="false" ht="15" hidden="false" customHeight="false" outlineLevel="0" collapsed="false">
      <c r="A16" s="18" t="s">
        <v>280</v>
      </c>
      <c r="B16" s="2"/>
      <c r="C16" s="14" t="n">
        <f aca="false">MAX(0,C15)*Assumptions!$C$103</f>
        <v>0</v>
      </c>
      <c r="D16" s="14" t="n">
        <f aca="false">MAX(0,D15)*Assumptions!$C$103</f>
        <v>0</v>
      </c>
      <c r="E16" s="14" t="n">
        <f aca="false">MAX(0,E15)*Assumptions!$C$103</f>
        <v>0</v>
      </c>
      <c r="F16" s="14" t="n">
        <f aca="false">MAX(0,F15)*Assumptions!$C$103</f>
        <v>0</v>
      </c>
      <c r="G16" s="14" t="n">
        <f aca="false">MAX(0,G15)*Assumptions!$C$103</f>
        <v>0</v>
      </c>
      <c r="H16" s="14" t="n">
        <f aca="false">MAX(0,H15)*Assumptions!$C$103</f>
        <v>0</v>
      </c>
      <c r="I16" s="14" t="n">
        <f aca="false">MAX(0,I15)*Assumptions!$C$103</f>
        <v>0</v>
      </c>
      <c r="J16" s="14" t="n">
        <f aca="false">MAX(0,J15)*Assumptions!$C$103</f>
        <v>0</v>
      </c>
      <c r="K16" s="14" t="n">
        <f aca="false">MAX(0,K15)*Assumptions!$C$103</f>
        <v>0</v>
      </c>
      <c r="L16" s="14" t="n">
        <f aca="false">MAX(0,L15)*Assumptions!$C$103</f>
        <v>0</v>
      </c>
      <c r="M16" s="14" t="n">
        <f aca="false">MAX(0,M15)*Assumptions!$C$103</f>
        <v>0</v>
      </c>
      <c r="N16" s="14" t="n">
        <f aca="false">MAX(0,N15)*Assumptions!$C$103</f>
        <v>0</v>
      </c>
      <c r="O16" s="14" t="n">
        <f aca="false">MAX(0,O15)*Assumptions!$C$103</f>
        <v>0</v>
      </c>
      <c r="P16" s="14" t="n">
        <f aca="false">MAX(0,P15)*Assumptions!$C$103</f>
        <v>0</v>
      </c>
      <c r="Q16" s="14" t="n">
        <f aca="false">MAX(0,Q15)*Assumptions!$C$103</f>
        <v>0</v>
      </c>
      <c r="R16" s="14" t="n">
        <f aca="false">MAX(0,R15)*Assumptions!$C$103</f>
        <v>0</v>
      </c>
      <c r="S16" s="14" t="n">
        <f aca="false">MAX(0,S15)*Assumptions!$C$103</f>
        <v>0</v>
      </c>
      <c r="T16" s="14" t="n">
        <f aca="false">MAX(0,T15)*Assumptions!$C$103</f>
        <v>0</v>
      </c>
      <c r="U16" s="14" t="n">
        <f aca="false">MAX(0,U15)*Assumptions!$C$103</f>
        <v>0</v>
      </c>
      <c r="V16" s="14" t="n">
        <f aca="false">MAX(0,V15)*Assumptions!$C$103</f>
        <v>0</v>
      </c>
      <c r="W16" s="14" t="n">
        <f aca="false">MAX(0,W15)*Assumptions!$C$103</f>
        <v>0</v>
      </c>
      <c r="X16" s="14" t="n">
        <f aca="false">MAX(0,X15)*Assumptions!$C$103</f>
        <v>0</v>
      </c>
      <c r="Y16" s="14" t="n">
        <f aca="false">MAX(0,Y15)*Assumptions!$C$103</f>
        <v>0</v>
      </c>
      <c r="Z16" s="14" t="n">
        <f aca="false">MAX(0,Z15)*Assumptions!$C$103</f>
        <v>0</v>
      </c>
      <c r="AA16" s="14" t="n">
        <f aca="false">MAX(0,AA15)*Assumptions!$C$103</f>
        <v>0</v>
      </c>
      <c r="AB16" s="14" t="n">
        <f aca="false">MAX(0,AB15)*Assumptions!$C$103</f>
        <v>0</v>
      </c>
      <c r="AC16" s="14" t="n">
        <f aca="false">MAX(0,AC15)*Assumptions!$C$103</f>
        <v>0</v>
      </c>
      <c r="AD16" s="14" t="n">
        <f aca="false">MAX(0,AD15)*Assumptions!$C$103</f>
        <v>0</v>
      </c>
      <c r="AE16" s="14" t="n">
        <f aca="false">MAX(0,AE15)*Assumptions!$C$103</f>
        <v>0</v>
      </c>
      <c r="AF16" s="14" t="n">
        <f aca="false">MAX(0,AF15)*Assumptions!$C$103</f>
        <v>0</v>
      </c>
      <c r="AG16" s="14" t="n">
        <f aca="false">MAX(0,AG15)*Assumptions!$C$103</f>
        <v>0</v>
      </c>
      <c r="AH16" s="14" t="n">
        <f aca="false">MAX(0,AH15)*Assumptions!$C$103</f>
        <v>0</v>
      </c>
      <c r="AI16" s="14" t="n">
        <f aca="false">MAX(0,AI15)*Assumptions!$C$103</f>
        <v>0</v>
      </c>
      <c r="AJ16" s="14" t="n">
        <f aca="false">MAX(0,AJ15)*Assumptions!$C$103</f>
        <v>0</v>
      </c>
      <c r="AK16" s="14" t="n">
        <f aca="false">MAX(0,AK15)*Assumptions!$C$103</f>
        <v>0</v>
      </c>
      <c r="AL16" s="14" t="n">
        <f aca="false">MAX(0,AL15)*Assumptions!$C$103</f>
        <v>0</v>
      </c>
      <c r="AM16" s="14" t="n">
        <f aca="false">MAX(0,AM15)*Assumptions!$C$103</f>
        <v>0</v>
      </c>
      <c r="AN16" s="14" t="n">
        <f aca="false">MAX(0,AN15)*Assumptions!$C$103</f>
        <v>0</v>
      </c>
      <c r="AO16" s="14" t="n">
        <f aca="false">MAX(0,AO15)*Assumptions!$C$103</f>
        <v>0</v>
      </c>
      <c r="AP16" s="14" t="n">
        <f aca="false">MAX(0,AP15)*Assumptions!$C$103</f>
        <v>0</v>
      </c>
      <c r="AQ16" s="14" t="n">
        <f aca="false">MAX(0,AQ15)*Assumptions!$C$103</f>
        <v>0</v>
      </c>
      <c r="AR16" s="14" t="n">
        <f aca="false">MAX(0,AR15)*Assumptions!$C$103</f>
        <v>0</v>
      </c>
      <c r="AS16" s="14" t="n">
        <f aca="false">MAX(0,AS15)*Assumptions!$C$103</f>
        <v>0</v>
      </c>
      <c r="AT16" s="14" t="n">
        <f aca="false">MAX(0,AT15)*Assumptions!$C$103</f>
        <v>0</v>
      </c>
      <c r="AU16" s="14" t="n">
        <f aca="false">MAX(0,AU15)*Assumptions!$C$103</f>
        <v>0</v>
      </c>
      <c r="AV16" s="14" t="n">
        <f aca="false">MAX(0,AV15)*Assumptions!$C$103</f>
        <v>0</v>
      </c>
      <c r="AW16" s="14" t="n">
        <f aca="false">MAX(0,AW15)*Assumptions!$C$103</f>
        <v>0</v>
      </c>
      <c r="AX16" s="14" t="n">
        <f aca="false">MAX(0,AX15)*Assumptions!$C$103</f>
        <v>0</v>
      </c>
      <c r="AY16" s="14" t="n">
        <f aca="false">MAX(0,AY15)*Assumptions!$C$103</f>
        <v>0</v>
      </c>
      <c r="AZ16" s="14" t="n">
        <f aca="false">MAX(0,AZ15)*Assumptions!$C$103</f>
        <v>0</v>
      </c>
      <c r="BA16" s="14" t="n">
        <f aca="false">MAX(0,BA15)*Assumptions!$C$103</f>
        <v>0</v>
      </c>
      <c r="BB16" s="14" t="n">
        <f aca="false">MAX(0,BB15)*Assumptions!$C$103</f>
        <v>0</v>
      </c>
      <c r="BC16" s="14" t="n">
        <f aca="false">MAX(0,BC15)*Assumptions!$C$103</f>
        <v>0</v>
      </c>
      <c r="BD16" s="14" t="n">
        <f aca="false">MAX(0,BD15)*Assumptions!$C$103</f>
        <v>0</v>
      </c>
      <c r="BE16" s="14" t="n">
        <f aca="false">MAX(0,BE15)*Assumptions!$C$103</f>
        <v>0</v>
      </c>
      <c r="BF16" s="14" t="n">
        <f aca="false">MAX(0,BF15)*Assumptions!$C$103</f>
        <v>0</v>
      </c>
      <c r="BG16" s="14" t="n">
        <f aca="false">MAX(0,BG15)*Assumptions!$C$103</f>
        <v>0</v>
      </c>
      <c r="BH16" s="14" t="n">
        <f aca="false">MAX(0,BH15)*Assumptions!$C$103</f>
        <v>0</v>
      </c>
      <c r="BI16" s="14" t="n">
        <f aca="false">MAX(0,BI15)*Assumptions!$C$103</f>
        <v>0</v>
      </c>
      <c r="BJ16" s="14" t="n">
        <f aca="false">MAX(0,BJ15)*Assumptions!$C$103</f>
        <v>0</v>
      </c>
      <c r="BK16" s="43" t="n">
        <f aca="false">SUMIF($C$5:$BJ$5,BK$5,$C16:$BJ16)</f>
        <v>0</v>
      </c>
      <c r="BL16" s="43" t="n">
        <f aca="false">SUMIF($C$5:$BJ$5,BL$5,$C16:$BJ16)</f>
        <v>0</v>
      </c>
      <c r="BM16" s="43" t="n">
        <f aca="false">SUMIF($C$5:$BJ$5,BM$5,$C16:$BJ16)</f>
        <v>0</v>
      </c>
      <c r="BN16" s="43" t="n">
        <f aca="false">SUMIF($C$5:$BJ$5,BN$5,$C16:$BJ16)</f>
        <v>0</v>
      </c>
      <c r="BO16" s="43" t="n">
        <f aca="false">SUMIF($C$5:$BJ$5,BO$5,$C16:$BJ16)</f>
        <v>0</v>
      </c>
    </row>
    <row r="17" customFormat="false" ht="15" hidden="false" customHeight="false" outlineLevel="0" collapsed="false">
      <c r="A17" s="39" t="s">
        <v>281</v>
      </c>
      <c r="B17" s="40"/>
      <c r="C17" s="41" t="n">
        <f aca="false">C15-C16</f>
        <v>-8182.88095238095</v>
      </c>
      <c r="D17" s="41" t="n">
        <f aca="false">D15-D16</f>
        <v>-5936.14496281642</v>
      </c>
      <c r="E17" s="41" t="n">
        <f aca="false">E15-E16</f>
        <v>-1947.40582833016</v>
      </c>
      <c r="F17" s="41" t="n">
        <f aca="false">F15-F16</f>
        <v>1543.68684966476</v>
      </c>
      <c r="G17" s="41" t="n">
        <f aca="false">G15-G16</f>
        <v>5283.68347274463</v>
      </c>
      <c r="H17" s="41" t="n">
        <f aca="false">H15-H16</f>
        <v>8028.33444549761</v>
      </c>
      <c r="I17" s="41" t="n">
        <f aca="false">I15-I16</f>
        <v>3514.69017554623</v>
      </c>
      <c r="J17" s="41" t="n">
        <f aca="false">J15-J16</f>
        <v>2277.85107357021</v>
      </c>
      <c r="K17" s="41" t="n">
        <f aca="false">K15-K16</f>
        <v>2285.31755332938</v>
      </c>
      <c r="L17" s="41" t="n">
        <f aca="false">L15-L16</f>
        <v>2292.84003168674</v>
      </c>
      <c r="M17" s="41" t="n">
        <f aca="false">M15-M16</f>
        <v>1056.16892863178</v>
      </c>
      <c r="N17" s="41" t="n">
        <f aca="false">N15-N16</f>
        <v>1063.8046673039</v>
      </c>
      <c r="O17" s="41" t="n">
        <f aca="false">O15-O16</f>
        <v>1357.35417401608</v>
      </c>
      <c r="P17" s="41" t="n">
        <f aca="false">P15-P16</f>
        <v>1365.10487827859</v>
      </c>
      <c r="Q17" s="41" t="n">
        <f aca="false">Q15-Q16</f>
        <v>4099.77721282306</v>
      </c>
      <c r="R17" s="41" t="n">
        <f aca="false">R15-R16</f>
        <v>5471.07636362663</v>
      </c>
      <c r="S17" s="41" t="n">
        <f aca="false">S15-S16</f>
        <v>6842.43451993622</v>
      </c>
      <c r="T17" s="41" t="n">
        <f aca="false">T15-T16</f>
        <v>6850.42037429313</v>
      </c>
      <c r="U17" s="41" t="n">
        <f aca="false">U15-U16</f>
        <v>5495.03437255771</v>
      </c>
      <c r="V17" s="41" t="n">
        <f aca="false">V15-V16</f>
        <v>4139.70871393428</v>
      </c>
      <c r="W17" s="41" t="n">
        <f aca="false">W15-W16</f>
        <v>4147.87560099618</v>
      </c>
      <c r="X17" s="41" t="n">
        <f aca="false">X15-X16</f>
        <v>4156.10373971104</v>
      </c>
      <c r="Y17" s="41" t="n">
        <f aca="false">Y15-Y16</f>
        <v>2800.96183946626</v>
      </c>
      <c r="Z17" s="41" t="n">
        <f aca="false">Z15-Z16</f>
        <v>2809.31386309465</v>
      </c>
      <c r="AA17" s="41" t="n">
        <f aca="false">AA15-AA16</f>
        <v>-909.649810199755</v>
      </c>
      <c r="AB17" s="41" t="n">
        <f aca="false">AB15-AB16</f>
        <v>-901.172036415614</v>
      </c>
      <c r="AC17" s="41" t="n">
        <f aca="false">AC15-AC16</f>
        <v>2096.39313877191</v>
      </c>
      <c r="AD17" s="41" t="n">
        <f aca="false">AD15-AD16</f>
        <v>3599.51046508759</v>
      </c>
      <c r="AE17" s="41" t="n">
        <f aca="false">AE15-AE16</f>
        <v>5102.69233203276</v>
      </c>
      <c r="AF17" s="41" t="n">
        <f aca="false">AF15-AF16</f>
        <v>5111.42731461214</v>
      </c>
      <c r="AG17" s="41" t="n">
        <f aca="false">AG15-AG16</f>
        <v>3625.71590051087</v>
      </c>
      <c r="AH17" s="41" t="n">
        <f aca="false">AH15-AH16</f>
        <v>2140.07049012172</v>
      </c>
      <c r="AI17" s="41" t="n">
        <f aca="false">AI15-AI16</f>
        <v>2149.00348752252</v>
      </c>
      <c r="AJ17" s="41" t="n">
        <f aca="false">AJ15-AJ16</f>
        <v>2158.00348240383</v>
      </c>
      <c r="AK17" s="41" t="n">
        <f aca="false">AK15-AK16</f>
        <v>672.559068196747</v>
      </c>
      <c r="AL17" s="41" t="n">
        <f aca="false">AL15-AL16</f>
        <v>681.694569250987</v>
      </c>
      <c r="AM17" s="41" t="n">
        <f aca="false">AM15-AM16</f>
        <v>1183.67989414042</v>
      </c>
      <c r="AN17" s="41" t="n">
        <f aca="false">AN15-AN16</f>
        <v>1192.9529415824</v>
      </c>
      <c r="AO17" s="41" t="n">
        <f aca="false">AO15-AO16</f>
        <v>4479.75804203139</v>
      </c>
      <c r="AP17" s="41" t="n">
        <f aca="false">AP15-AP16</f>
        <v>6127.90195936952</v>
      </c>
      <c r="AQ17" s="41" t="n">
        <f aca="false">AQ15-AQ16</f>
        <v>7776.11647169336</v>
      </c>
      <c r="AR17" s="41" t="n">
        <f aca="false">AR15-AR16</f>
        <v>7785.67085588973</v>
      </c>
      <c r="AS17" s="41" t="n">
        <f aca="false">AS15-AS16</f>
        <v>6156.56564539198</v>
      </c>
      <c r="AT17" s="41" t="n">
        <f aca="false">AT15-AT16</f>
        <v>4527.53263020981</v>
      </c>
      <c r="AU17" s="41" t="n">
        <f aca="false">AU15-AU16</f>
        <v>4537.30360438369</v>
      </c>
      <c r="AV17" s="41" t="n">
        <f aca="false">AV15-AV16</f>
        <v>4547.14786086386</v>
      </c>
      <c r="AW17" s="41" t="n">
        <f aca="false">AW15-AW16</f>
        <v>2918.33469669205</v>
      </c>
      <c r="AX17" s="41" t="n">
        <f aca="false">AX15-AX16</f>
        <v>2928.32717075886</v>
      </c>
      <c r="AY17" s="41" t="n">
        <f aca="false">AY15-AY16</f>
        <v>3358.30231545878</v>
      </c>
      <c r="AZ17" s="41" t="n">
        <f aca="false">AZ15-AZ16</f>
        <v>3368.44523871325</v>
      </c>
      <c r="BA17" s="41" t="n">
        <f aca="false">BA15-BA16</f>
        <v>6973.59565706091</v>
      </c>
      <c r="BB17" s="41" t="n">
        <f aca="false">BB15-BB16</f>
        <v>8781.35700628801</v>
      </c>
      <c r="BC17" s="41" t="n">
        <f aca="false">BC15-BC16</f>
        <v>10589.1955727974</v>
      </c>
      <c r="BD17" s="41" t="n">
        <f aca="false">BD15-BD16</f>
        <v>10599.6462241344</v>
      </c>
      <c r="BE17" s="41" t="n">
        <f aca="false">BE15-BE16</f>
        <v>8812.70954377205</v>
      </c>
      <c r="BF17" s="41" t="n">
        <f aca="false">BF15-BF16</f>
        <v>7025.85183114385</v>
      </c>
      <c r="BG17" s="41" t="n">
        <f aca="false">BG15-BG16</f>
        <v>7036.5393900922</v>
      </c>
      <c r="BH17" s="41" t="n">
        <f aca="false">BH15-BH16</f>
        <v>7047.30710573266</v>
      </c>
      <c r="BI17" s="41" t="n">
        <f aca="false">BI15-BI16</f>
        <v>5260.68986765605</v>
      </c>
      <c r="BJ17" s="41" t="n">
        <f aca="false">BJ15-BJ16</f>
        <v>5271.61970471512</v>
      </c>
      <c r="BK17" s="42" t="n">
        <f aca="false">SUMIF($C$5:$BJ$5,BK$5,$C17:$BJ17)</f>
        <v>11279.9454544477</v>
      </c>
      <c r="BL17" s="42" t="n">
        <f aca="false">SUMIF($C$5:$BJ$5,BL$5,$C17:$BJ17)</f>
        <v>49535.1656527338</v>
      </c>
      <c r="BM17" s="42" t="n">
        <f aca="false">SUMIF($C$5:$BJ$5,BM$5,$C17:$BJ17)</f>
        <v>25526.2484018957</v>
      </c>
      <c r="BN17" s="42" t="n">
        <f aca="false">SUMIF($C$5:$BJ$5,BN$5,$C17:$BJ17)</f>
        <v>54161.2917730071</v>
      </c>
      <c r="BO17" s="42" t="n">
        <f aca="false">SUMIF($C$5:$BJ$5,BO$5,$C17:$BJ17)</f>
        <v>84125.2594575647</v>
      </c>
    </row>
    <row r="19" customFormat="false" ht="15" hidden="false" customHeight="false" outlineLevel="0" collapsed="false">
      <c r="A19" s="33" t="s">
        <v>282</v>
      </c>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row>
    <row r="20" customFormat="false" ht="15" hidden="false" customHeight="false" outlineLevel="0" collapsed="false">
      <c r="A20" s="18" t="s">
        <v>283</v>
      </c>
      <c r="B20" s="2"/>
      <c r="C20" s="24" t="n">
        <f aca="false">IF(C7=0,0,C9/C7)</f>
        <v>0.698076923076923</v>
      </c>
      <c r="D20" s="24" t="n">
        <f aca="false">IF(D7=0,0,D9/D7)</f>
        <v>0.698076923076923</v>
      </c>
      <c r="E20" s="24" t="n">
        <f aca="false">IF(E7=0,0,E9/E7)</f>
        <v>0.698076923076923</v>
      </c>
      <c r="F20" s="24" t="n">
        <f aca="false">IF(F7=0,0,F9/F7)</f>
        <v>0.698076923076923</v>
      </c>
      <c r="G20" s="24" t="n">
        <f aca="false">IF(G7=0,0,G9/G7)</f>
        <v>0.698076923076923</v>
      </c>
      <c r="H20" s="24" t="n">
        <f aca="false">IF(H7=0,0,H9/H7)</f>
        <v>0.698076923076923</v>
      </c>
      <c r="I20" s="24" t="n">
        <f aca="false">IF(I7=0,0,I9/I7)</f>
        <v>0.698076923076923</v>
      </c>
      <c r="J20" s="24" t="n">
        <f aca="false">IF(J7=0,0,J9/J7)</f>
        <v>0.698076923076923</v>
      </c>
      <c r="K20" s="24" t="n">
        <f aca="false">IF(K7=0,0,K9/K7)</f>
        <v>0.698076923076923</v>
      </c>
      <c r="L20" s="24" t="n">
        <f aca="false">IF(L7=0,0,L9/L7)</f>
        <v>0.698076923076923</v>
      </c>
      <c r="M20" s="24" t="n">
        <f aca="false">IF(M7=0,0,M9/M7)</f>
        <v>0.698076923076923</v>
      </c>
      <c r="N20" s="24" t="n">
        <f aca="false">IF(N7=0,0,N9/N7)</f>
        <v>0.698076923076923</v>
      </c>
      <c r="O20" s="24" t="n">
        <f aca="false">IF(O7=0,0,O9/O7)</f>
        <v>0.699973597127368</v>
      </c>
      <c r="P20" s="24" t="n">
        <f aca="false">IF(P7=0,0,P9/P7)</f>
        <v>0.699973597127368</v>
      </c>
      <c r="Q20" s="24" t="n">
        <f aca="false">IF(Q7=0,0,Q9/Q7)</f>
        <v>0.699973597127367</v>
      </c>
      <c r="R20" s="24" t="n">
        <f aca="false">IF(R7=0,0,R9/R7)</f>
        <v>0.699973597127368</v>
      </c>
      <c r="S20" s="24" t="n">
        <f aca="false">IF(S7=0,0,S9/S7)</f>
        <v>0.699973597127367</v>
      </c>
      <c r="T20" s="24" t="n">
        <f aca="false">IF(T7=0,0,T9/T7)</f>
        <v>0.699973597127367</v>
      </c>
      <c r="U20" s="24" t="n">
        <f aca="false">IF(U7=0,0,U9/U7)</f>
        <v>0.699973597127368</v>
      </c>
      <c r="V20" s="24" t="n">
        <f aca="false">IF(V7=0,0,V9/V7)</f>
        <v>0.699973597127367</v>
      </c>
      <c r="W20" s="24" t="n">
        <f aca="false">IF(W7=0,0,W9/W7)</f>
        <v>0.699973597127367</v>
      </c>
      <c r="X20" s="24" t="n">
        <f aca="false">IF(X7=0,0,X9/X7)</f>
        <v>0.699973597127367</v>
      </c>
      <c r="Y20" s="24" t="n">
        <f aca="false">IF(Y7=0,0,Y9/Y7)</f>
        <v>0.699973597127368</v>
      </c>
      <c r="Z20" s="24" t="n">
        <f aca="false">IF(Z7=0,0,Z9/Z7)</f>
        <v>0.699973597127368</v>
      </c>
      <c r="AA20" s="24" t="n">
        <f aca="false">IF(AA7=0,0,AA9/AA7)</f>
        <v>0.701880414276669</v>
      </c>
      <c r="AB20" s="24" t="n">
        <f aca="false">IF(AB7=0,0,AB9/AB7)</f>
        <v>0.701880414276669</v>
      </c>
      <c r="AC20" s="24" t="n">
        <f aca="false">IF(AC7=0,0,AC9/AC7)</f>
        <v>0.701880414276669</v>
      </c>
      <c r="AD20" s="24" t="n">
        <f aca="false">IF(AD7=0,0,AD9/AD7)</f>
        <v>0.701880414276669</v>
      </c>
      <c r="AE20" s="24" t="n">
        <f aca="false">IF(AE7=0,0,AE9/AE7)</f>
        <v>0.701880414276669</v>
      </c>
      <c r="AF20" s="24" t="n">
        <f aca="false">IF(AF7=0,0,AF9/AF7)</f>
        <v>0.701880414276669</v>
      </c>
      <c r="AG20" s="24" t="n">
        <f aca="false">IF(AG7=0,0,AG9/AG7)</f>
        <v>0.701880414276669</v>
      </c>
      <c r="AH20" s="24" t="n">
        <f aca="false">IF(AH7=0,0,AH9/AH7)</f>
        <v>0.701880414276669</v>
      </c>
      <c r="AI20" s="24" t="n">
        <f aca="false">IF(AI7=0,0,AI9/AI7)</f>
        <v>0.701880414276669</v>
      </c>
      <c r="AJ20" s="24" t="n">
        <f aca="false">IF(AJ7=0,0,AJ9/AJ7)</f>
        <v>0.701880414276669</v>
      </c>
      <c r="AK20" s="24" t="n">
        <f aca="false">IF(AK7=0,0,AK9/AK7)</f>
        <v>0.701880414276669</v>
      </c>
      <c r="AL20" s="24" t="n">
        <f aca="false">IF(AL7=0,0,AL9/AL7)</f>
        <v>0.701880414276669</v>
      </c>
      <c r="AM20" s="24" t="n">
        <f aca="false">IF(AM7=0,0,AM9/AM7)</f>
        <v>0.703797120916444</v>
      </c>
      <c r="AN20" s="24" t="n">
        <f aca="false">IF(AN7=0,0,AN9/AN7)</f>
        <v>0.703797120916444</v>
      </c>
      <c r="AO20" s="24" t="n">
        <f aca="false">IF(AO7=0,0,AO9/AO7)</f>
        <v>0.703797120916444</v>
      </c>
      <c r="AP20" s="24" t="n">
        <f aca="false">IF(AP7=0,0,AP9/AP7)</f>
        <v>0.703797120916444</v>
      </c>
      <c r="AQ20" s="24" t="n">
        <f aca="false">IF(AQ7=0,0,AQ9/AQ7)</f>
        <v>0.703797120916444</v>
      </c>
      <c r="AR20" s="24" t="n">
        <f aca="false">IF(AR7=0,0,AR9/AR7)</f>
        <v>0.703797120916444</v>
      </c>
      <c r="AS20" s="24" t="n">
        <f aca="false">IF(AS7=0,0,AS9/AS7)</f>
        <v>0.703797120916444</v>
      </c>
      <c r="AT20" s="24" t="n">
        <f aca="false">IF(AT7=0,0,AT9/AT7)</f>
        <v>0.703797120916444</v>
      </c>
      <c r="AU20" s="24" t="n">
        <f aca="false">IF(AU7=0,0,AU9/AU7)</f>
        <v>0.703797120916444</v>
      </c>
      <c r="AV20" s="24" t="n">
        <f aca="false">IF(AV7=0,0,AV9/AV7)</f>
        <v>0.703797120916444</v>
      </c>
      <c r="AW20" s="24" t="n">
        <f aca="false">IF(AW7=0,0,AW9/AW7)</f>
        <v>0.703797120916444</v>
      </c>
      <c r="AX20" s="24" t="n">
        <f aca="false">IF(AX7=0,0,AX9/AX7)</f>
        <v>0.703797120916444</v>
      </c>
      <c r="AY20" s="24" t="n">
        <f aca="false">IF(AY7=0,0,AY9/AY7)</f>
        <v>0.705723434300696</v>
      </c>
      <c r="AZ20" s="24" t="n">
        <f aca="false">IF(AZ7=0,0,AZ9/AZ7)</f>
        <v>0.705723434300696</v>
      </c>
      <c r="BA20" s="24" t="n">
        <f aca="false">IF(BA7=0,0,BA9/BA7)</f>
        <v>0.705723434300696</v>
      </c>
      <c r="BB20" s="24" t="n">
        <f aca="false">IF(BB7=0,0,BB9/BB7)</f>
        <v>0.705723434300696</v>
      </c>
      <c r="BC20" s="24" t="n">
        <f aca="false">IF(BC7=0,0,BC9/BC7)</f>
        <v>0.705723434300696</v>
      </c>
      <c r="BD20" s="24" t="n">
        <f aca="false">IF(BD7=0,0,BD9/BD7)</f>
        <v>0.705723434300696</v>
      </c>
      <c r="BE20" s="24" t="n">
        <f aca="false">IF(BE7=0,0,BE9/BE7)</f>
        <v>0.705723434300696</v>
      </c>
      <c r="BF20" s="24" t="n">
        <f aca="false">IF(BF7=0,0,BF9/BF7)</f>
        <v>0.705723434300696</v>
      </c>
      <c r="BG20" s="24" t="n">
        <f aca="false">IF(BG7=0,0,BG9/BG7)</f>
        <v>0.705723434300696</v>
      </c>
      <c r="BH20" s="24" t="n">
        <f aca="false">IF(BH7=0,0,BH9/BH7)</f>
        <v>0.705723434300696</v>
      </c>
      <c r="BI20" s="24" t="n">
        <f aca="false">IF(BI7=0,0,BI9/BI7)</f>
        <v>0.705723434300696</v>
      </c>
      <c r="BJ20" s="24" t="n">
        <f aca="false">IF(BJ7=0,0,BJ9/BJ7)</f>
        <v>0.705723434300696</v>
      </c>
      <c r="BK20" s="45" t="n">
        <f aca="false">IF(BK7=0,0,BK9/BK7)</f>
        <v>0.698076923076923</v>
      </c>
      <c r="BL20" s="45" t="n">
        <f aca="false">IF(BL7=0,0,BL9/BL7)</f>
        <v>0.699973597127367</v>
      </c>
      <c r="BM20" s="45" t="n">
        <f aca="false">IF(BM7=0,0,BM9/BM7)</f>
        <v>0.701880414276669</v>
      </c>
      <c r="BN20" s="45" t="n">
        <f aca="false">IF(BN7=0,0,BN9/BN7)</f>
        <v>0.703797120916444</v>
      </c>
      <c r="BO20" s="45" t="n">
        <f aca="false">IF(BO7=0,0,BO9/BO7)</f>
        <v>0.705723434300696</v>
      </c>
    </row>
    <row r="21" customFormat="false" ht="15" hidden="false" customHeight="false" outlineLevel="0" collapsed="false">
      <c r="A21" s="18" t="s">
        <v>284</v>
      </c>
      <c r="B21" s="2"/>
      <c r="C21" s="24" t="n">
        <f aca="false">IF(C7=0,0,C10/C7)</f>
        <v>0.713888888888889</v>
      </c>
      <c r="D21" s="24" t="n">
        <f aca="false">IF(D7=0,0,D10/D7)</f>
        <v>0.594907407407407</v>
      </c>
      <c r="E21" s="24" t="n">
        <f aca="false">IF(E7=0,0,E10/E7)</f>
        <v>0.458928571428571</v>
      </c>
      <c r="F21" s="24" t="n">
        <f aca="false">IF(F7=0,0,F10/F7)</f>
        <v>0.382440476190476</v>
      </c>
      <c r="G21" s="24" t="n">
        <f aca="false">IF(G7=0,0,G10/G7)</f>
        <v>0.32449494949495</v>
      </c>
      <c r="H21" s="24" t="n">
        <f aca="false">IF(H7=0,0,H10/H7)</f>
        <v>0.292045454545455</v>
      </c>
      <c r="I21" s="24" t="n">
        <f aca="false">IF(I7=0,0,I10/I7)</f>
        <v>0.385970695970696</v>
      </c>
      <c r="J21" s="24" t="n">
        <f aca="false">IF(J7=0,0,J10/J7)</f>
        <v>0.405269230769231</v>
      </c>
      <c r="K21" s="24" t="n">
        <f aca="false">IF(K7=0,0,K10/K7)</f>
        <v>0.405269230769231</v>
      </c>
      <c r="L21" s="24" t="n">
        <f aca="false">IF(L7=0,0,L10/L7)</f>
        <v>0.405269230769231</v>
      </c>
      <c r="M21" s="24" t="n">
        <f aca="false">IF(M7=0,0,M10/M7)</f>
        <v>0.426599190283401</v>
      </c>
      <c r="N21" s="24" t="n">
        <f aca="false">IF(N7=0,0,N10/N7)</f>
        <v>0.426599190283401</v>
      </c>
      <c r="O21" s="24" t="n">
        <f aca="false">IF(O7=0,0,O10/O7)</f>
        <v>0.424523379254774</v>
      </c>
      <c r="P21" s="24" t="n">
        <f aca="false">IF(P7=0,0,P10/P7)</f>
        <v>0.424523379254774</v>
      </c>
      <c r="Q21" s="24" t="n">
        <f aca="false">IF(Q7=0,0,Q10/Q7)</f>
        <v>0.382071041329297</v>
      </c>
      <c r="R21" s="24" t="n">
        <f aca="false">IF(R7=0,0,R10/R7)</f>
        <v>0.363877182218378</v>
      </c>
      <c r="S21" s="24" t="n">
        <f aca="false">IF(S7=0,0,S10/S7)</f>
        <v>0.347337310299361</v>
      </c>
      <c r="T21" s="24" t="n">
        <f aca="false">IF(T7=0,0,T10/T7)</f>
        <v>0.347337310299361</v>
      </c>
      <c r="U21" s="24" t="n">
        <f aca="false">IF(U7=0,0,U10/U7)</f>
        <v>0.363877182218378</v>
      </c>
      <c r="V21" s="24" t="n">
        <f aca="false">IF(V7=0,0,V10/V7)</f>
        <v>0.382071041329297</v>
      </c>
      <c r="W21" s="24" t="n">
        <f aca="false">IF(W7=0,0,W10/W7)</f>
        <v>0.382071041329297</v>
      </c>
      <c r="X21" s="24" t="n">
        <f aca="false">IF(X7=0,0,X10/X7)</f>
        <v>0.382071041329297</v>
      </c>
      <c r="Y21" s="24" t="n">
        <f aca="false">IF(Y7=0,0,Y10/Y7)</f>
        <v>0.402180043504523</v>
      </c>
      <c r="Z21" s="24" t="n">
        <f aca="false">IF(Z7=0,0,Z10/Z7)</f>
        <v>0.402180043504523</v>
      </c>
      <c r="AA21" s="24" t="n">
        <f aca="false">IF(AA7=0,0,AA10/AA7)</f>
        <v>0.497681213132891</v>
      </c>
      <c r="AB21" s="24" t="n">
        <f aca="false">IF(AB7=0,0,AB10/AB7)</f>
        <v>0.497681213132891</v>
      </c>
      <c r="AC21" s="24" t="n">
        <f aca="false">IF(AC7=0,0,AC10/AC7)</f>
        <v>0.447913091819602</v>
      </c>
      <c r="AD21" s="24" t="n">
        <f aca="false">IF(AD7=0,0,AD10/AD7)</f>
        <v>0.42658389697105</v>
      </c>
      <c r="AE21" s="24" t="n">
        <f aca="false">IF(AE7=0,0,AE10/AE7)</f>
        <v>0.407193719836002</v>
      </c>
      <c r="AF21" s="24" t="n">
        <f aca="false">IF(AF7=0,0,AF10/AF7)</f>
        <v>0.407193719836002</v>
      </c>
      <c r="AG21" s="24" t="n">
        <f aca="false">IF(AG7=0,0,AG10/AG7)</f>
        <v>0.42658389697105</v>
      </c>
      <c r="AH21" s="24" t="n">
        <f aca="false">IF(AH7=0,0,AH10/AH7)</f>
        <v>0.447913091819602</v>
      </c>
      <c r="AI21" s="24" t="n">
        <f aca="false">IF(AI7=0,0,AI10/AI7)</f>
        <v>0.447913091819602</v>
      </c>
      <c r="AJ21" s="24" t="n">
        <f aca="false">IF(AJ7=0,0,AJ10/AJ7)</f>
        <v>0.447913091819602</v>
      </c>
      <c r="AK21" s="24" t="n">
        <f aca="false">IF(AK7=0,0,AK10/AK7)</f>
        <v>0.471487465073266</v>
      </c>
      <c r="AL21" s="24" t="n">
        <f aca="false">IF(AL7=0,0,AL10/AL7)</f>
        <v>0.471487465073266</v>
      </c>
      <c r="AM21" s="24" t="n">
        <f aca="false">IF(AM7=0,0,AM10/AM7)</f>
        <v>0.468894373404123</v>
      </c>
      <c r="AN21" s="24" t="n">
        <f aca="false">IF(AN7=0,0,AN10/AN7)</f>
        <v>0.468894373404123</v>
      </c>
      <c r="AO21" s="24" t="n">
        <f aca="false">IF(AO7=0,0,AO10/AO7)</f>
        <v>0.422004936063711</v>
      </c>
      <c r="AP21" s="24" t="n">
        <f aca="false">IF(AP7=0,0,AP10/AP7)</f>
        <v>0.40190946291782</v>
      </c>
      <c r="AQ21" s="24" t="n">
        <f aca="false">IF(AQ7=0,0,AQ10/AQ7)</f>
        <v>0.38364085096701</v>
      </c>
      <c r="AR21" s="24" t="n">
        <f aca="false">IF(AR7=0,0,AR10/AR7)</f>
        <v>0.38364085096701</v>
      </c>
      <c r="AS21" s="24" t="n">
        <f aca="false">IF(AS7=0,0,AS10/AS7)</f>
        <v>0.40190946291782</v>
      </c>
      <c r="AT21" s="24" t="n">
        <f aca="false">IF(AT7=0,0,AT10/AT7)</f>
        <v>0.422004936063711</v>
      </c>
      <c r="AU21" s="24" t="n">
        <f aca="false">IF(AU7=0,0,AU10/AU7)</f>
        <v>0.422004936063711</v>
      </c>
      <c r="AV21" s="24" t="n">
        <f aca="false">IF(AV7=0,0,AV10/AV7)</f>
        <v>0.422004936063711</v>
      </c>
      <c r="AW21" s="24" t="n">
        <f aca="false">IF(AW7=0,0,AW10/AW7)</f>
        <v>0.444215722172327</v>
      </c>
      <c r="AX21" s="24" t="n">
        <f aca="false">IF(AX7=0,0,AX10/AX7)</f>
        <v>0.444215722172327</v>
      </c>
      <c r="AY21" s="24" t="n">
        <f aca="false">IF(AY7=0,0,AY10/AY7)</f>
        <v>0.441628289744995</v>
      </c>
      <c r="AZ21" s="24" t="n">
        <f aca="false">IF(AZ7=0,0,AZ10/AZ7)</f>
        <v>0.441628289744995</v>
      </c>
      <c r="BA21" s="24" t="n">
        <f aca="false">IF(BA7=0,0,BA10/BA7)</f>
        <v>0.397465460770495</v>
      </c>
      <c r="BB21" s="24" t="n">
        <f aca="false">IF(BB7=0,0,BB10/BB7)</f>
        <v>0.378538534067138</v>
      </c>
      <c r="BC21" s="24" t="n">
        <f aca="false">IF(BC7=0,0,BC10/BC7)</f>
        <v>0.361332237064086</v>
      </c>
      <c r="BD21" s="24" t="n">
        <f aca="false">IF(BD7=0,0,BD10/BD7)</f>
        <v>0.361332237064086</v>
      </c>
      <c r="BE21" s="24" t="n">
        <f aca="false">IF(BE7=0,0,BE10/BE7)</f>
        <v>0.378538534067138</v>
      </c>
      <c r="BF21" s="24" t="n">
        <f aca="false">IF(BF7=0,0,BF10/BF7)</f>
        <v>0.397465460770495</v>
      </c>
      <c r="BG21" s="24" t="n">
        <f aca="false">IF(BG7=0,0,BG10/BG7)</f>
        <v>0.397465460770495</v>
      </c>
      <c r="BH21" s="24" t="n">
        <f aca="false">IF(BH7=0,0,BH10/BH7)</f>
        <v>0.397465460770495</v>
      </c>
      <c r="BI21" s="24" t="n">
        <f aca="false">IF(BI7=0,0,BI10/BI7)</f>
        <v>0.41838469554789</v>
      </c>
      <c r="BJ21" s="24" t="n">
        <f aca="false">IF(BJ7=0,0,BJ10/BJ7)</f>
        <v>0.41838469554789</v>
      </c>
      <c r="BK21" s="45" t="n">
        <f aca="false">IF(BK7=0,0,BK10/BK7)</f>
        <v>0.412404482934284</v>
      </c>
      <c r="BL21" s="45" t="n">
        <f aca="false">IF(BL7=0,0,BL10/BL7)</f>
        <v>0.382071041329297</v>
      </c>
      <c r="BM21" s="45" t="n">
        <f aca="false">IF(BM7=0,0,BM10/BM7)</f>
        <v>0.447913091819602</v>
      </c>
      <c r="BN21" s="45" t="n">
        <f aca="false">IF(BN7=0,0,BN10/BN7)</f>
        <v>0.422004936063711</v>
      </c>
      <c r="BO21" s="45" t="n">
        <f aca="false">IF(BO7=0,0,BO10/BO7)</f>
        <v>0.397465460770495</v>
      </c>
    </row>
    <row r="22" customFormat="false" ht="15" hidden="false" customHeight="false" outlineLevel="0" collapsed="false">
      <c r="A22" s="18" t="s">
        <v>285</v>
      </c>
      <c r="B22" s="2"/>
      <c r="C22" s="24" t="n">
        <f aca="false">IF(C7=0,0,C11/C7)</f>
        <v>0.327806267806268</v>
      </c>
      <c r="D22" s="24" t="n">
        <f aca="false">IF(D7=0,0,D11/D7)</f>
        <v>0.283171889838557</v>
      </c>
      <c r="E22" s="24" t="n">
        <f aca="false">IF(E7=0,0,E11/E7)</f>
        <v>0.232161172161172</v>
      </c>
      <c r="F22" s="24" t="n">
        <f aca="false">IF(F7=0,0,F11/F7)</f>
        <v>0.203467643467643</v>
      </c>
      <c r="G22" s="24" t="n">
        <f aca="false">IF(G7=0,0,G11/G7)</f>
        <v>0.181730121730122</v>
      </c>
      <c r="H22" s="24" t="n">
        <f aca="false">IF(H7=0,0,H11/H7)</f>
        <v>0.16955710955711</v>
      </c>
      <c r="I22" s="24" t="n">
        <f aca="false">IF(I7=0,0,I11/I7)</f>
        <v>0.174774114774115</v>
      </c>
      <c r="J22" s="24" t="n">
        <f aca="false">IF(J7=0,0,J11/J7)</f>
        <v>0.180512820512821</v>
      </c>
      <c r="K22" s="24" t="n">
        <f aca="false">IF(K7=0,0,K11/K7)</f>
        <v>0.180512820512821</v>
      </c>
      <c r="L22" s="24" t="n">
        <f aca="false">IF(L7=0,0,L11/L7)</f>
        <v>0.180512820512821</v>
      </c>
      <c r="M22" s="24" t="n">
        <f aca="false">IF(M7=0,0,M11/M7)</f>
        <v>0.186855600539811</v>
      </c>
      <c r="N22" s="24" t="n">
        <f aca="false">IF(N7=0,0,N11/N7)</f>
        <v>0.186855600539811</v>
      </c>
      <c r="O22" s="24" t="n">
        <f aca="false">IF(O7=0,0,O11/O7)</f>
        <v>0.186238327322605</v>
      </c>
      <c r="P22" s="24" t="n">
        <f aca="false">IF(P7=0,0,P11/P7)</f>
        <v>0.186238327322605</v>
      </c>
      <c r="Q22" s="24" t="n">
        <f aca="false">IF(Q7=0,0,Q11/Q7)</f>
        <v>0.173614494590345</v>
      </c>
      <c r="R22" s="24" t="n">
        <f aca="false">IF(R7=0,0,R11/R7)</f>
        <v>0.168204280562233</v>
      </c>
      <c r="S22" s="24" t="n">
        <f aca="false">IF(S7=0,0,S11/S7)</f>
        <v>0.163285904173041</v>
      </c>
      <c r="T22" s="24" t="n">
        <f aca="false">IF(T7=0,0,T11/T7)</f>
        <v>0.163285904173041</v>
      </c>
      <c r="U22" s="24" t="n">
        <f aca="false">IF(U7=0,0,U11/U7)</f>
        <v>0.168204280562233</v>
      </c>
      <c r="V22" s="24" t="n">
        <f aca="false">IF(V7=0,0,V11/V7)</f>
        <v>0.173614494590345</v>
      </c>
      <c r="W22" s="24" t="n">
        <f aca="false">IF(W7=0,0,W11/W7)</f>
        <v>0.173614494590345</v>
      </c>
      <c r="X22" s="24" t="n">
        <f aca="false">IF(X7=0,0,X11/X7)</f>
        <v>0.173614494590345</v>
      </c>
      <c r="Y22" s="24" t="n">
        <f aca="false">IF(Y7=0,0,Y11/Y7)</f>
        <v>0.179594204831942</v>
      </c>
      <c r="Z22" s="24" t="n">
        <f aca="false">IF(Z7=0,0,Z11/Z7)</f>
        <v>0.179594204831942</v>
      </c>
      <c r="AA22" s="24" t="n">
        <f aca="false">IF(AA7=0,0,AA11/AA7)</f>
        <v>0.178974680284051</v>
      </c>
      <c r="AB22" s="24" t="n">
        <f aca="false">IF(AB7=0,0,AB11/AB7)</f>
        <v>0.178974680284051</v>
      </c>
      <c r="AC22" s="24" t="n">
        <f aca="false">IF(AC7=0,0,AC11/AC7)</f>
        <v>0.167077212255646</v>
      </c>
      <c r="AD22" s="24" t="n">
        <f aca="false">IF(AD7=0,0,AD11/AD7)</f>
        <v>0.16197829738633</v>
      </c>
      <c r="AE22" s="24" t="n">
        <f aca="false">IF(AE7=0,0,AE11/AE7)</f>
        <v>0.157342920232406</v>
      </c>
      <c r="AF22" s="24" t="n">
        <f aca="false">IF(AF7=0,0,AF11/AF7)</f>
        <v>0.157342920232406</v>
      </c>
      <c r="AG22" s="24" t="n">
        <f aca="false">IF(AG7=0,0,AG11/AG7)</f>
        <v>0.16197829738633</v>
      </c>
      <c r="AH22" s="24" t="n">
        <f aca="false">IF(AH7=0,0,AH11/AH7)</f>
        <v>0.167077212255646</v>
      </c>
      <c r="AI22" s="24" t="n">
        <f aca="false">IF(AI7=0,0,AI11/AI7)</f>
        <v>0.167077212255646</v>
      </c>
      <c r="AJ22" s="24" t="n">
        <f aca="false">IF(AJ7=0,0,AJ11/AJ7)</f>
        <v>0.167077212255646</v>
      </c>
      <c r="AK22" s="24" t="n">
        <f aca="false">IF(AK7=0,0,AK11/AK7)</f>
        <v>0.172712855005943</v>
      </c>
      <c r="AL22" s="24" t="n">
        <f aca="false">IF(AL7=0,0,AL11/AL7)</f>
        <v>0.172712855005943</v>
      </c>
      <c r="AM22" s="24" t="n">
        <f aca="false">IF(AM7=0,0,AM11/AM7)</f>
        <v>0.17209295567251</v>
      </c>
      <c r="AN22" s="24" t="n">
        <f aca="false">IF(AN7=0,0,AN11/AN7)</f>
        <v>0.17209295567251</v>
      </c>
      <c r="AO22" s="24" t="n">
        <f aca="false">IF(AO7=0,0,AO11/AO7)</f>
        <v>0.160883660105259</v>
      </c>
      <c r="AP22" s="24" t="n">
        <f aca="false">IF(AP7=0,0,AP11/AP7)</f>
        <v>0.156079676290723</v>
      </c>
      <c r="AQ22" s="24" t="n">
        <f aca="false">IF(AQ7=0,0,AQ11/AQ7)</f>
        <v>0.151712418277508</v>
      </c>
      <c r="AR22" s="24" t="n">
        <f aca="false">IF(AR7=0,0,AR11/AR7)</f>
        <v>0.151712418277508</v>
      </c>
      <c r="AS22" s="24" t="n">
        <f aca="false">IF(AS7=0,0,AS11/AS7)</f>
        <v>0.156079676290723</v>
      </c>
      <c r="AT22" s="24" t="n">
        <f aca="false">IF(AT7=0,0,AT11/AT7)</f>
        <v>0.160883660105259</v>
      </c>
      <c r="AU22" s="24" t="n">
        <f aca="false">IF(AU7=0,0,AU11/AU7)</f>
        <v>0.160883660105259</v>
      </c>
      <c r="AV22" s="24" t="n">
        <f aca="false">IF(AV7=0,0,AV11/AV7)</f>
        <v>0.160883660105259</v>
      </c>
      <c r="AW22" s="24" t="n">
        <f aca="false">IF(AW7=0,0,AW11/AW7)</f>
        <v>0.166193326426588</v>
      </c>
      <c r="AX22" s="24" t="n">
        <f aca="false">IF(AX7=0,0,AX11/AX7)</f>
        <v>0.166193326426588</v>
      </c>
      <c r="AY22" s="24" t="n">
        <f aca="false">IF(AY7=0,0,AY11/AY7)</f>
        <v>0.165574779980238</v>
      </c>
      <c r="AZ22" s="24" t="n">
        <f aca="false">IF(AZ7=0,0,AZ11/AZ7)</f>
        <v>0.165574779980238</v>
      </c>
      <c r="BA22" s="24" t="n">
        <f aca="false">IF(BA7=0,0,BA11/BA7)</f>
        <v>0.155017301982214</v>
      </c>
      <c r="BB22" s="24" t="n">
        <f aca="false">IF(BB7=0,0,BB11/BB7)</f>
        <v>0.15049266855449</v>
      </c>
      <c r="BC22" s="24" t="n">
        <f aca="false">IF(BC7=0,0,BC11/BC7)</f>
        <v>0.146379365438377</v>
      </c>
      <c r="BD22" s="24" t="n">
        <f aca="false">IF(BD7=0,0,BD11/BD7)</f>
        <v>0.146379365438377</v>
      </c>
      <c r="BE22" s="24" t="n">
        <f aca="false">IF(BE7=0,0,BE11/BE7)</f>
        <v>0.15049266855449</v>
      </c>
      <c r="BF22" s="24" t="n">
        <f aca="false">IF(BF7=0,0,BF11/BF7)</f>
        <v>0.155017301982214</v>
      </c>
      <c r="BG22" s="24" t="n">
        <f aca="false">IF(BG7=0,0,BG11/BG7)</f>
        <v>0.155017301982214</v>
      </c>
      <c r="BH22" s="24" t="n">
        <f aca="false">IF(BH7=0,0,BH11/BH7)</f>
        <v>0.155017301982214</v>
      </c>
      <c r="BI22" s="24" t="n">
        <f aca="false">IF(BI7=0,0,BI11/BI7)</f>
        <v>0.160018212612857</v>
      </c>
      <c r="BJ22" s="24" t="n">
        <f aca="false">IF(BJ7=0,0,BJ11/BJ7)</f>
        <v>0.160018212612857</v>
      </c>
      <c r="BK22" s="45" t="n">
        <f aca="false">IF(BK7=0,0,BK11/BK7)</f>
        <v>0.196816825558547</v>
      </c>
      <c r="BL22" s="45" t="n">
        <f aca="false">IF(BL7=0,0,BL11/BL7)</f>
        <v>0.173614494590345</v>
      </c>
      <c r="BM22" s="45" t="n">
        <f aca="false">IF(BM7=0,0,BM11/BM7)</f>
        <v>0.167077212255646</v>
      </c>
      <c r="BN22" s="45" t="n">
        <f aca="false">IF(BN7=0,0,BN11/BN7)</f>
        <v>0.160883660105259</v>
      </c>
      <c r="BO22" s="45" t="n">
        <f aca="false">IF(BO7=0,0,BO11/BO7)</f>
        <v>0.155017301982214</v>
      </c>
    </row>
    <row r="23" customFormat="false" ht="15" hidden="false" customHeight="false" outlineLevel="0" collapsed="false">
      <c r="A23" s="18" t="s">
        <v>286</v>
      </c>
      <c r="B23" s="2"/>
      <c r="C23" s="24" t="n">
        <f aca="false">IF(C7=0,0,C12/C7)</f>
        <v>-0.343618233618234</v>
      </c>
      <c r="D23" s="24" t="n">
        <f aca="false">IF(D7=0,0,D12/D7)</f>
        <v>-0.180002374169041</v>
      </c>
      <c r="E23" s="24" t="n">
        <f aca="false">IF(E7=0,0,E12/E7)</f>
        <v>0.00698717948717949</v>
      </c>
      <c r="F23" s="24" t="n">
        <f aca="false">IF(F7=0,0,F12/F7)</f>
        <v>0.112168803418804</v>
      </c>
      <c r="G23" s="24" t="n">
        <f aca="false">IF(G7=0,0,G12/G7)</f>
        <v>0.191851851851852</v>
      </c>
      <c r="H23" s="24" t="n">
        <f aca="false">IF(H7=0,0,H12/H7)</f>
        <v>0.236474358974359</v>
      </c>
      <c r="I23" s="24" t="n">
        <f aca="false">IF(I7=0,0,I12/I7)</f>
        <v>0.137332112332112</v>
      </c>
      <c r="J23" s="24" t="n">
        <f aca="false">IF(J7=0,0,J12/J7)</f>
        <v>0.112294871794872</v>
      </c>
      <c r="K23" s="24" t="n">
        <f aca="false">IF(K7=0,0,K12/K7)</f>
        <v>0.112294871794872</v>
      </c>
      <c r="L23" s="24" t="n">
        <f aca="false">IF(L7=0,0,L12/L7)</f>
        <v>0.112294871794872</v>
      </c>
      <c r="M23" s="24" t="n">
        <f aca="false">IF(M7=0,0,M12/M7)</f>
        <v>0.0846221322537112</v>
      </c>
      <c r="N23" s="24" t="n">
        <f aca="false">IF(N7=0,0,N12/N7)</f>
        <v>0.0846221322537112</v>
      </c>
      <c r="O23" s="24" t="n">
        <f aca="false">IF(O7=0,0,O12/O7)</f>
        <v>0.0892118905499882</v>
      </c>
      <c r="P23" s="24" t="n">
        <f aca="false">IF(P7=0,0,P12/P7)</f>
        <v>0.0892118905499882</v>
      </c>
      <c r="Q23" s="24" t="n">
        <f aca="false">IF(Q7=0,0,Q12/Q7)</f>
        <v>0.144288061207726</v>
      </c>
      <c r="R23" s="24" t="n">
        <f aca="false">IF(R7=0,0,R12/R7)</f>
        <v>0.167892134346757</v>
      </c>
      <c r="S23" s="24" t="n">
        <f aca="false">IF(S7=0,0,S12/S7)</f>
        <v>0.189350382654966</v>
      </c>
      <c r="T23" s="24" t="n">
        <f aca="false">IF(T7=0,0,T12/T7)</f>
        <v>0.189350382654966</v>
      </c>
      <c r="U23" s="24" t="n">
        <f aca="false">IF(U7=0,0,U12/U7)</f>
        <v>0.167892134346757</v>
      </c>
      <c r="V23" s="24" t="n">
        <f aca="false">IF(V7=0,0,V12/V7)</f>
        <v>0.144288061207726</v>
      </c>
      <c r="W23" s="24" t="n">
        <f aca="false">IF(W7=0,0,W12/W7)</f>
        <v>0.144288061207726</v>
      </c>
      <c r="X23" s="24" t="n">
        <f aca="false">IF(X7=0,0,X12/X7)</f>
        <v>0.144288061207726</v>
      </c>
      <c r="Y23" s="24" t="n">
        <f aca="false">IF(Y7=0,0,Y12/Y7)</f>
        <v>0.118199348790903</v>
      </c>
      <c r="Z23" s="24" t="n">
        <f aca="false">IF(Z7=0,0,Z12/Z7)</f>
        <v>0.118199348790903</v>
      </c>
      <c r="AA23" s="24" t="n">
        <f aca="false">IF(AA7=0,0,AA12/AA7)</f>
        <v>0.0252245208597263</v>
      </c>
      <c r="AB23" s="24" t="n">
        <f aca="false">IF(AB7=0,0,AB12/AB7)</f>
        <v>0.0252245208597263</v>
      </c>
      <c r="AC23" s="24" t="n">
        <f aca="false">IF(AC7=0,0,AC12/AC7)</f>
        <v>0.0868901102014206</v>
      </c>
      <c r="AD23" s="24" t="n">
        <f aca="false">IF(AD7=0,0,AD12/AD7)</f>
        <v>0.11331821991929</v>
      </c>
      <c r="AE23" s="24" t="n">
        <f aca="false">IF(AE7=0,0,AE12/AE7)</f>
        <v>0.137343774208261</v>
      </c>
      <c r="AF23" s="24" t="n">
        <f aca="false">IF(AF7=0,0,AF12/AF7)</f>
        <v>0.137343774208261</v>
      </c>
      <c r="AG23" s="24" t="n">
        <f aca="false">IF(AG7=0,0,AG12/AG7)</f>
        <v>0.11331821991929</v>
      </c>
      <c r="AH23" s="24" t="n">
        <f aca="false">IF(AH7=0,0,AH12/AH7)</f>
        <v>0.0868901102014206</v>
      </c>
      <c r="AI23" s="24" t="n">
        <f aca="false">IF(AI7=0,0,AI12/AI7)</f>
        <v>0.0868901102014206</v>
      </c>
      <c r="AJ23" s="24" t="n">
        <f aca="false">IF(AJ7=0,0,AJ12/AJ7)</f>
        <v>0.0868901102014206</v>
      </c>
      <c r="AK23" s="24" t="n">
        <f aca="false">IF(AK7=0,0,AK12/AK7)</f>
        <v>0.0576800941974602</v>
      </c>
      <c r="AL23" s="24" t="n">
        <f aca="false">IF(AL7=0,0,AL12/AL7)</f>
        <v>0.0576800941974602</v>
      </c>
      <c r="AM23" s="24" t="n">
        <f aca="false">IF(AM7=0,0,AM12/AM7)</f>
        <v>0.0628097918398112</v>
      </c>
      <c r="AN23" s="24" t="n">
        <f aca="false">IF(AN7=0,0,AN12/AN7)</f>
        <v>0.0628097918398112</v>
      </c>
      <c r="AO23" s="24" t="n">
        <f aca="false">IF(AO7=0,0,AO12/AO7)</f>
        <v>0.120908524747475</v>
      </c>
      <c r="AP23" s="24" t="n">
        <f aca="false">IF(AP7=0,0,AP12/AP7)</f>
        <v>0.145807981707902</v>
      </c>
      <c r="AQ23" s="24" t="n">
        <f aca="false">IF(AQ7=0,0,AQ12/AQ7)</f>
        <v>0.168443851671926</v>
      </c>
      <c r="AR23" s="24" t="n">
        <f aca="false">IF(AR7=0,0,AR12/AR7)</f>
        <v>0.168443851671926</v>
      </c>
      <c r="AS23" s="24" t="n">
        <f aca="false">IF(AS7=0,0,AS12/AS7)</f>
        <v>0.145807981707902</v>
      </c>
      <c r="AT23" s="24" t="n">
        <f aca="false">IF(AT7=0,0,AT12/AT7)</f>
        <v>0.120908524747475</v>
      </c>
      <c r="AU23" s="24" t="n">
        <f aca="false">IF(AU7=0,0,AU12/AU7)</f>
        <v>0.120908524747475</v>
      </c>
      <c r="AV23" s="24" t="n">
        <f aca="false">IF(AV7=0,0,AV12/AV7)</f>
        <v>0.120908524747475</v>
      </c>
      <c r="AW23" s="24" t="n">
        <f aca="false">IF(AW7=0,0,AW12/AW7)</f>
        <v>0.0933880723175287</v>
      </c>
      <c r="AX23" s="24" t="n">
        <f aca="false">IF(AX7=0,0,AX12/AX7)</f>
        <v>0.0933880723175287</v>
      </c>
      <c r="AY23" s="24" t="n">
        <f aca="false">IF(AY7=0,0,AY12/AY7)</f>
        <v>0.0985203645754627</v>
      </c>
      <c r="AZ23" s="24" t="n">
        <f aca="false">IF(AZ7=0,0,AZ12/AZ7)</f>
        <v>0.0985203645754627</v>
      </c>
      <c r="BA23" s="24" t="n">
        <f aca="false">IF(BA7=0,0,BA12/BA7)</f>
        <v>0.153240671547986</v>
      </c>
      <c r="BB23" s="24" t="n">
        <f aca="false">IF(BB7=0,0,BB12/BB7)</f>
        <v>0.176692231679067</v>
      </c>
      <c r="BC23" s="24" t="n">
        <f aca="false">IF(BC7=0,0,BC12/BC7)</f>
        <v>0.198011831798232</v>
      </c>
      <c r="BD23" s="24" t="n">
        <f aca="false">IF(BD7=0,0,BD12/BD7)</f>
        <v>0.198011831798232</v>
      </c>
      <c r="BE23" s="24" t="n">
        <f aca="false">IF(BE7=0,0,BE12/BE7)</f>
        <v>0.176692231679067</v>
      </c>
      <c r="BF23" s="24" t="n">
        <f aca="false">IF(BF7=0,0,BF12/BF7)</f>
        <v>0.153240671547986</v>
      </c>
      <c r="BG23" s="24" t="n">
        <f aca="false">IF(BG7=0,0,BG12/BG7)</f>
        <v>0.153240671547986</v>
      </c>
      <c r="BH23" s="24" t="n">
        <f aca="false">IF(BH7=0,0,BH12/BH7)</f>
        <v>0.153240671547986</v>
      </c>
      <c r="BI23" s="24" t="n">
        <f aca="false">IF(BI7=0,0,BI12/BI7)</f>
        <v>0.127320526139949</v>
      </c>
      <c r="BJ23" s="24" t="n">
        <f aca="false">IF(BJ7=0,0,BJ12/BJ7)</f>
        <v>0.127320526139949</v>
      </c>
      <c r="BK23" s="45" t="n">
        <f aca="false">IF(BK7=0,0,BK12/BK7)</f>
        <v>0.0888556145840914</v>
      </c>
      <c r="BL23" s="45" t="n">
        <f aca="false">IF(BL7=0,0,BL12/BL7)</f>
        <v>0.144288061207726</v>
      </c>
      <c r="BM23" s="45" t="n">
        <f aca="false">IF(BM7=0,0,BM12/BM7)</f>
        <v>0.0868901102014206</v>
      </c>
      <c r="BN23" s="45" t="n">
        <f aca="false">IF(BN7=0,0,BN12/BN7)</f>
        <v>0.120908524747474</v>
      </c>
      <c r="BO23" s="45" t="n">
        <f aca="false">IF(BO7=0,0,BO12/BO7)</f>
        <v>0.153240671547986</v>
      </c>
    </row>
    <row r="24" customFormat="false" ht="15" hidden="false" customHeight="false" outlineLevel="0" collapsed="false">
      <c r="A24" s="18" t="s">
        <v>287</v>
      </c>
      <c r="B24" s="2"/>
      <c r="C24" s="24" t="n">
        <f aca="false">IF(C7=0,0,C17/C7)</f>
        <v>-0.46626102292769</v>
      </c>
      <c r="D24" s="24" t="n">
        <f aca="false">IF(D7=0,0,D17/D7)</f>
        <v>-0.281868231852632</v>
      </c>
      <c r="E24" s="24" t="n">
        <f aca="false">IF(E7=0,0,E17/E7)</f>
        <v>-0.0713335468252804</v>
      </c>
      <c r="F24" s="24" t="n">
        <f aca="false">IF(F7=0,0,F17/F7)</f>
        <v>0.047121088207105</v>
      </c>
      <c r="G24" s="24" t="n">
        <f aca="false">IF(G7=0,0,G17/G7)</f>
        <v>0.136847538791625</v>
      </c>
      <c r="H24" s="24" t="n">
        <f aca="false">IF(H7=0,0,H17/H7)</f>
        <v>0.187140663065212</v>
      </c>
      <c r="I24" s="24" t="n">
        <f aca="false">IF(I7=0,0,I17/I7)</f>
        <v>0.0858288199156588</v>
      </c>
      <c r="J24" s="24" t="n">
        <f aca="false">IF(J7=0,0,J17/J7)</f>
        <v>0.0584064377838516</v>
      </c>
      <c r="K24" s="24" t="n">
        <f aca="false">IF(K7=0,0,K17/K7)</f>
        <v>0.0585978859828045</v>
      </c>
      <c r="L24" s="24" t="n">
        <f aca="false">IF(L7=0,0,L17/L7)</f>
        <v>0.0587907700432496</v>
      </c>
      <c r="M24" s="24" t="n">
        <f aca="false">IF(M7=0,0,M17/M7)</f>
        <v>0.0285065837687389</v>
      </c>
      <c r="N24" s="24" t="n">
        <f aca="false">IF(N7=0,0,N17/N7)</f>
        <v>0.0287126765804022</v>
      </c>
      <c r="O24" s="24" t="n">
        <f aca="false">IF(O7=0,0,O17/O7)</f>
        <v>0.0353956043197988</v>
      </c>
      <c r="P24" s="24" t="n">
        <f aca="false">IF(P7=0,0,P17/P7)</f>
        <v>0.0355977187469154</v>
      </c>
      <c r="Q24" s="24" t="n">
        <f aca="false">IF(Q7=0,0,Q17/Q7)</f>
        <v>0.0962185738417484</v>
      </c>
      <c r="R24" s="24" t="n">
        <f aca="false">IF(R7=0,0,R17/R7)</f>
        <v>0.122287519485077</v>
      </c>
      <c r="S24" s="24" t="n">
        <f aca="false">IF(S7=0,0,S17/S7)</f>
        <v>0.145987819900111</v>
      </c>
      <c r="T24" s="24" t="n">
        <f aca="false">IF(T7=0,0,T17/T7)</f>
        <v>0.146158203330776</v>
      </c>
      <c r="U24" s="24" t="n">
        <f aca="false">IF(U7=0,0,U17/U7)</f>
        <v>0.122823020232875</v>
      </c>
      <c r="V24" s="24" t="n">
        <f aca="false">IF(V7=0,0,V17/V7)</f>
        <v>0.0971557350309625</v>
      </c>
      <c r="W24" s="24" t="n">
        <f aca="false">IF(W7=0,0,W17/W7)</f>
        <v>0.0973474055010954</v>
      </c>
      <c r="X24" s="24" t="n">
        <f aca="false">IF(X7=0,0,X17/X7)</f>
        <v>0.0975405134997544</v>
      </c>
      <c r="Y24" s="24" t="n">
        <f aca="false">IF(Y7=0,0,Y17/Y7)</f>
        <v>0.0691961999495105</v>
      </c>
      <c r="Z24" s="24" t="n">
        <f aca="false">IF(Z7=0,0,Z17/Z7)</f>
        <v>0.0694025320347356</v>
      </c>
      <c r="AA24" s="24" t="n">
        <f aca="false">IF(AA7=0,0,AA17/AA7)</f>
        <v>-0.0217048341811276</v>
      </c>
      <c r="AB24" s="24" t="n">
        <f aca="false">IF(AB7=0,0,AB17/AB7)</f>
        <v>-0.0215025490026483</v>
      </c>
      <c r="AC24" s="24" t="n">
        <f aca="false">IF(AC7=0,0,AC17/AC7)</f>
        <v>0.0450191694108695</v>
      </c>
      <c r="AD24" s="24" t="n">
        <f aca="false">IF(AD7=0,0,AD17/AD7)</f>
        <v>0.0736171313104105</v>
      </c>
      <c r="AE24" s="24" t="n">
        <f aca="false">IF(AE7=0,0,AE17/AE7)</f>
        <v>0.0996165384764786</v>
      </c>
      <c r="AF24" s="24" t="n">
        <f aca="false">IF(AF7=0,0,AF17/AF7)</f>
        <v>0.0997870658513604</v>
      </c>
      <c r="AG24" s="24" t="n">
        <f aca="false">IF(AG7=0,0,AG17/AG7)</f>
        <v>0.0741530844627388</v>
      </c>
      <c r="AH24" s="24" t="n">
        <f aca="false">IF(AH7=0,0,AH17/AH7)</f>
        <v>0.045957122337479</v>
      </c>
      <c r="AI24" s="24" t="n">
        <f aca="false">IF(AI7=0,0,AI17/AI7)</f>
        <v>0.0461489547356565</v>
      </c>
      <c r="AJ24" s="24" t="n">
        <f aca="false">IF(AJ7=0,0,AJ17/AJ7)</f>
        <v>0.0463422258768204</v>
      </c>
      <c r="AK24" s="24" t="n">
        <f aca="false">IF(AK7=0,0,AK17/AK7)</f>
        <v>0.015203079829168</v>
      </c>
      <c r="AL24" s="24" t="n">
        <f aca="false">IF(AL7=0,0,AL17/AL7)</f>
        <v>0.0154095862289396</v>
      </c>
      <c r="AM24" s="24" t="n">
        <f aca="false">IF(AM7=0,0,AM17/AM7)</f>
        <v>0.0258346783944581</v>
      </c>
      <c r="AN24" s="24" t="n">
        <f aca="false">IF(AN7=0,0,AN17/AN7)</f>
        <v>0.0260370694290497</v>
      </c>
      <c r="AO24" s="24" t="n">
        <f aca="false">IF(AO7=0,0,AO17/AO7)</f>
        <v>0.0879965926484051</v>
      </c>
      <c r="AP24" s="24" t="n">
        <f aca="false">IF(AP7=0,0,AP17/AP7)</f>
        <v>0.114639374428926</v>
      </c>
      <c r="AQ24" s="24" t="n">
        <f aca="false">IF(AQ7=0,0,AQ17/AQ7)</f>
        <v>0.138861345782511</v>
      </c>
      <c r="AR24" s="24" t="n">
        <f aca="false">IF(AR7=0,0,AR17/AR7)</f>
        <v>0.139031962394602</v>
      </c>
      <c r="AS24" s="24" t="n">
        <f aca="false">IF(AS7=0,0,AS17/AS7)</f>
        <v>0.115175608046277</v>
      </c>
      <c r="AT24" s="24" t="n">
        <f aca="false">IF(AT7=0,0,AT17/AT7)</f>
        <v>0.0889350364070719</v>
      </c>
      <c r="AU24" s="24" t="n">
        <f aca="false">IF(AU7=0,0,AU17/AU7)</f>
        <v>0.0891269691914074</v>
      </c>
      <c r="AV24" s="24" t="n">
        <f aca="false">IF(AV7=0,0,AV17/AV7)</f>
        <v>0.0893203414716254</v>
      </c>
      <c r="AW24" s="24" t="n">
        <f aca="false">IF(AW7=0,0,AW17/AW7)</f>
        <v>0.0603424294717082</v>
      </c>
      <c r="AX24" s="24" t="n">
        <f aca="false">IF(AX7=0,0,AX17/AX7)</f>
        <v>0.060549043936563</v>
      </c>
      <c r="AY24" s="24" t="n">
        <f aca="false">IF(AY7=0,0,AY17/AY7)</f>
        <v>0.0670244435627759</v>
      </c>
      <c r="AZ24" s="24" t="n">
        <f aca="false">IF(AZ7=0,0,AZ17/AZ7)</f>
        <v>0.0672268743517201</v>
      </c>
      <c r="BA24" s="24" t="n">
        <f aca="false">IF(BA7=0,0,BA17/BA7)</f>
        <v>0.125260084464493</v>
      </c>
      <c r="BB24" s="24" t="n">
        <f aca="false">IF(BB7=0,0,BB17/BB7)</f>
        <v>0.150220178050749</v>
      </c>
      <c r="BC24" s="24" t="n">
        <f aca="false">IF(BC7=0,0,BC17/BC7)</f>
        <v>0.172912433111713</v>
      </c>
      <c r="BD24" s="24" t="n">
        <f aca="false">IF(BD7=0,0,BD17/BD7)</f>
        <v>0.173083083236914</v>
      </c>
      <c r="BE24" s="24" t="n">
        <f aca="false">IF(BE7=0,0,BE17/BE7)</f>
        <v>0.150756516996976</v>
      </c>
      <c r="BF24" s="24" t="n">
        <f aca="false">IF(BF7=0,0,BF17/BF7)</f>
        <v>0.126198712555554</v>
      </c>
      <c r="BG24" s="24" t="n">
        <f aca="false">IF(BG7=0,0,BG17/BG7)</f>
        <v>0.126390683039996</v>
      </c>
      <c r="BH24" s="24" t="n">
        <f aca="false">IF(BH7=0,0,BH17/BH7)</f>
        <v>0.126584093303072</v>
      </c>
      <c r="BI24" s="24" t="n">
        <f aca="false">IF(BI7=0,0,BI17/BI7)</f>
        <v>0.0994660867664058</v>
      </c>
      <c r="BJ24" s="24" t="n">
        <f aca="false">IF(BJ7=0,0,BJ17/BJ7)</f>
        <v>0.0996727418151941</v>
      </c>
      <c r="BK24" s="45" t="n">
        <f aca="false">IF(BK7=0,0,BK17/BK7)</f>
        <v>0.0273632327934593</v>
      </c>
      <c r="BL24" s="45" t="n">
        <f aca="false">IF(BL7=0,0,BL17/BL7)</f>
        <v>0.0968793088563719</v>
      </c>
      <c r="BM24" s="45" t="n">
        <f aca="false">IF(BM7=0,0,BM17/BM7)</f>
        <v>0.0456804626310882</v>
      </c>
      <c r="BN24" s="45" t="n">
        <f aca="false">IF(BN7=0,0,BN17/BN7)</f>
        <v>0.088658231924276</v>
      </c>
      <c r="BO24" s="45" t="n">
        <f aca="false">IF(BO7=0,0,BO17/BO7)</f>
        <v>0.125921853701857</v>
      </c>
    </row>
  </sheetData>
  <printOptions headings="false" gridLines="false" gridLinesSet="true" horizontalCentered="false" verticalCentered="false"/>
  <pageMargins left="0.75" right="0.75" top="1" bottom="1" header="0.511811023622047" footer="0.511811023622047"/>
  <pageSetup paperSize="1" scale="100" fitToWidth="6" fitToHeight="1"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O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2" min="2" style="0" width="10"/>
    <col collapsed="false" customWidth="true" hidden="false" outlineLevel="0" max="62" min="3" style="0" width="11"/>
    <col collapsed="false" customWidth="true" hidden="false" outlineLevel="0" max="67" min="63" style="0" width="13"/>
  </cols>
  <sheetData>
    <row r="1" customFormat="false" ht="17.35" hidden="false" customHeight="false" outlineLevel="0" collapsed="false">
      <c r="A1" s="1" t="s">
        <v>288</v>
      </c>
    </row>
    <row r="2" customFormat="false" ht="15" hidden="false" customHeight="false" outlineLevel="0" collapsed="false">
      <c r="A2" s="2" t="s">
        <v>289</v>
      </c>
    </row>
    <row r="4" customFormat="false" ht="15" hidden="false" customHeight="false" outlineLevel="0" collapsed="false">
      <c r="A4" s="13" t="s">
        <v>216</v>
      </c>
      <c r="C4" s="28" t="n">
        <v>1</v>
      </c>
      <c r="D4" s="28" t="n">
        <v>2</v>
      </c>
      <c r="E4" s="28" t="n">
        <v>3</v>
      </c>
      <c r="F4" s="28" t="n">
        <v>4</v>
      </c>
      <c r="G4" s="28" t="n">
        <v>5</v>
      </c>
      <c r="H4" s="28" t="n">
        <v>6</v>
      </c>
      <c r="I4" s="28" t="n">
        <v>7</v>
      </c>
      <c r="J4" s="28" t="n">
        <v>8</v>
      </c>
      <c r="K4" s="28" t="n">
        <v>9</v>
      </c>
      <c r="L4" s="28" t="n">
        <v>10</v>
      </c>
      <c r="M4" s="28" t="n">
        <v>11</v>
      </c>
      <c r="N4" s="28" t="n">
        <v>12</v>
      </c>
      <c r="O4" s="28" t="n">
        <v>13</v>
      </c>
      <c r="P4" s="28" t="n">
        <v>14</v>
      </c>
      <c r="Q4" s="28" t="n">
        <v>15</v>
      </c>
      <c r="R4" s="28" t="n">
        <v>16</v>
      </c>
      <c r="S4" s="28" t="n">
        <v>17</v>
      </c>
      <c r="T4" s="28" t="n">
        <v>18</v>
      </c>
      <c r="U4" s="28" t="n">
        <v>19</v>
      </c>
      <c r="V4" s="28" t="n">
        <v>20</v>
      </c>
      <c r="W4" s="28" t="n">
        <v>21</v>
      </c>
      <c r="X4" s="28" t="n">
        <v>22</v>
      </c>
      <c r="Y4" s="28" t="n">
        <v>23</v>
      </c>
      <c r="Z4" s="28" t="n">
        <v>24</v>
      </c>
      <c r="AA4" s="28" t="n">
        <v>25</v>
      </c>
      <c r="AB4" s="28" t="n">
        <v>26</v>
      </c>
      <c r="AC4" s="28" t="n">
        <v>27</v>
      </c>
      <c r="AD4" s="28" t="n">
        <v>28</v>
      </c>
      <c r="AE4" s="28" t="n">
        <v>29</v>
      </c>
      <c r="AF4" s="28" t="n">
        <v>30</v>
      </c>
      <c r="AG4" s="28" t="n">
        <v>31</v>
      </c>
      <c r="AH4" s="28" t="n">
        <v>32</v>
      </c>
      <c r="AI4" s="28" t="n">
        <v>33</v>
      </c>
      <c r="AJ4" s="28" t="n">
        <v>34</v>
      </c>
      <c r="AK4" s="28" t="n">
        <v>35</v>
      </c>
      <c r="AL4" s="28" t="n">
        <v>36</v>
      </c>
      <c r="AM4" s="28" t="n">
        <v>37</v>
      </c>
      <c r="AN4" s="28" t="n">
        <v>38</v>
      </c>
      <c r="AO4" s="28" t="n">
        <v>39</v>
      </c>
      <c r="AP4" s="28" t="n">
        <v>40</v>
      </c>
      <c r="AQ4" s="28" t="n">
        <v>41</v>
      </c>
      <c r="AR4" s="28" t="n">
        <v>42</v>
      </c>
      <c r="AS4" s="28" t="n">
        <v>43</v>
      </c>
      <c r="AT4" s="28" t="n">
        <v>44</v>
      </c>
      <c r="AU4" s="28" t="n">
        <v>45</v>
      </c>
      <c r="AV4" s="28" t="n">
        <v>46</v>
      </c>
      <c r="AW4" s="28" t="n">
        <v>47</v>
      </c>
      <c r="AX4" s="28" t="n">
        <v>48</v>
      </c>
      <c r="AY4" s="28" t="n">
        <v>49</v>
      </c>
      <c r="AZ4" s="28" t="n">
        <v>50</v>
      </c>
      <c r="BA4" s="28" t="n">
        <v>51</v>
      </c>
      <c r="BB4" s="28" t="n">
        <v>52</v>
      </c>
      <c r="BC4" s="28" t="n">
        <v>53</v>
      </c>
      <c r="BD4" s="28" t="n">
        <v>54</v>
      </c>
      <c r="BE4" s="28" t="n">
        <v>55</v>
      </c>
      <c r="BF4" s="28" t="n">
        <v>56</v>
      </c>
      <c r="BG4" s="28" t="n">
        <v>57</v>
      </c>
      <c r="BH4" s="28" t="n">
        <v>58</v>
      </c>
      <c r="BI4" s="28" t="n">
        <v>59</v>
      </c>
      <c r="BJ4" s="28" t="n">
        <v>60</v>
      </c>
      <c r="BK4" s="29" t="s">
        <v>217</v>
      </c>
      <c r="BL4" s="29" t="s">
        <v>217</v>
      </c>
      <c r="BM4" s="29" t="s">
        <v>217</v>
      </c>
      <c r="BN4" s="29" t="s">
        <v>217</v>
      </c>
      <c r="BO4" s="29" t="s">
        <v>217</v>
      </c>
    </row>
    <row r="5" customFormat="false" ht="15" hidden="false" customHeight="false" outlineLevel="0" collapsed="false">
      <c r="A5" s="13" t="s">
        <v>218</v>
      </c>
      <c r="C5" s="30" t="n">
        <f aca="false">INT((C4-1)/12)+1</f>
        <v>1</v>
      </c>
      <c r="D5" s="30" t="n">
        <f aca="false">INT((D4-1)/12)+1</f>
        <v>1</v>
      </c>
      <c r="E5" s="30" t="n">
        <f aca="false">INT((E4-1)/12)+1</f>
        <v>1</v>
      </c>
      <c r="F5" s="30" t="n">
        <f aca="false">INT((F4-1)/12)+1</f>
        <v>1</v>
      </c>
      <c r="G5" s="30" t="n">
        <f aca="false">INT((G4-1)/12)+1</f>
        <v>1</v>
      </c>
      <c r="H5" s="30" t="n">
        <f aca="false">INT((H4-1)/12)+1</f>
        <v>1</v>
      </c>
      <c r="I5" s="30" t="n">
        <f aca="false">INT((I4-1)/12)+1</f>
        <v>1</v>
      </c>
      <c r="J5" s="30" t="n">
        <f aca="false">INT((J4-1)/12)+1</f>
        <v>1</v>
      </c>
      <c r="K5" s="30" t="n">
        <f aca="false">INT((K4-1)/12)+1</f>
        <v>1</v>
      </c>
      <c r="L5" s="30" t="n">
        <f aca="false">INT((L4-1)/12)+1</f>
        <v>1</v>
      </c>
      <c r="M5" s="30" t="n">
        <f aca="false">INT((M4-1)/12)+1</f>
        <v>1</v>
      </c>
      <c r="N5" s="30" t="n">
        <f aca="false">INT((N4-1)/12)+1</f>
        <v>1</v>
      </c>
      <c r="O5" s="30" t="n">
        <f aca="false">INT((O4-1)/12)+1</f>
        <v>2</v>
      </c>
      <c r="P5" s="30" t="n">
        <f aca="false">INT((P4-1)/12)+1</f>
        <v>2</v>
      </c>
      <c r="Q5" s="30" t="n">
        <f aca="false">INT((Q4-1)/12)+1</f>
        <v>2</v>
      </c>
      <c r="R5" s="30" t="n">
        <f aca="false">INT((R4-1)/12)+1</f>
        <v>2</v>
      </c>
      <c r="S5" s="30" t="n">
        <f aca="false">INT((S4-1)/12)+1</f>
        <v>2</v>
      </c>
      <c r="T5" s="30" t="n">
        <f aca="false">INT((T4-1)/12)+1</f>
        <v>2</v>
      </c>
      <c r="U5" s="30" t="n">
        <f aca="false">INT((U4-1)/12)+1</f>
        <v>2</v>
      </c>
      <c r="V5" s="30" t="n">
        <f aca="false">INT((V4-1)/12)+1</f>
        <v>2</v>
      </c>
      <c r="W5" s="30" t="n">
        <f aca="false">INT((W4-1)/12)+1</f>
        <v>2</v>
      </c>
      <c r="X5" s="30" t="n">
        <f aca="false">INT((X4-1)/12)+1</f>
        <v>2</v>
      </c>
      <c r="Y5" s="30" t="n">
        <f aca="false">INT((Y4-1)/12)+1</f>
        <v>2</v>
      </c>
      <c r="Z5" s="30" t="n">
        <f aca="false">INT((Z4-1)/12)+1</f>
        <v>2</v>
      </c>
      <c r="AA5" s="30" t="n">
        <f aca="false">INT((AA4-1)/12)+1</f>
        <v>3</v>
      </c>
      <c r="AB5" s="30" t="n">
        <f aca="false">INT((AB4-1)/12)+1</f>
        <v>3</v>
      </c>
      <c r="AC5" s="30" t="n">
        <f aca="false">INT((AC4-1)/12)+1</f>
        <v>3</v>
      </c>
      <c r="AD5" s="30" t="n">
        <f aca="false">INT((AD4-1)/12)+1</f>
        <v>3</v>
      </c>
      <c r="AE5" s="30" t="n">
        <f aca="false">INT((AE4-1)/12)+1</f>
        <v>3</v>
      </c>
      <c r="AF5" s="30" t="n">
        <f aca="false">INT((AF4-1)/12)+1</f>
        <v>3</v>
      </c>
      <c r="AG5" s="30" t="n">
        <f aca="false">INT((AG4-1)/12)+1</f>
        <v>3</v>
      </c>
      <c r="AH5" s="30" t="n">
        <f aca="false">INT((AH4-1)/12)+1</f>
        <v>3</v>
      </c>
      <c r="AI5" s="30" t="n">
        <f aca="false">INT((AI4-1)/12)+1</f>
        <v>3</v>
      </c>
      <c r="AJ5" s="30" t="n">
        <f aca="false">INT((AJ4-1)/12)+1</f>
        <v>3</v>
      </c>
      <c r="AK5" s="30" t="n">
        <f aca="false">INT((AK4-1)/12)+1</f>
        <v>3</v>
      </c>
      <c r="AL5" s="30" t="n">
        <f aca="false">INT((AL4-1)/12)+1</f>
        <v>3</v>
      </c>
      <c r="AM5" s="30" t="n">
        <f aca="false">INT((AM4-1)/12)+1</f>
        <v>4</v>
      </c>
      <c r="AN5" s="30" t="n">
        <f aca="false">INT((AN4-1)/12)+1</f>
        <v>4</v>
      </c>
      <c r="AO5" s="30" t="n">
        <f aca="false">INT((AO4-1)/12)+1</f>
        <v>4</v>
      </c>
      <c r="AP5" s="30" t="n">
        <f aca="false">INT((AP4-1)/12)+1</f>
        <v>4</v>
      </c>
      <c r="AQ5" s="30" t="n">
        <f aca="false">INT((AQ4-1)/12)+1</f>
        <v>4</v>
      </c>
      <c r="AR5" s="30" t="n">
        <f aca="false">INT((AR4-1)/12)+1</f>
        <v>4</v>
      </c>
      <c r="AS5" s="30" t="n">
        <f aca="false">INT((AS4-1)/12)+1</f>
        <v>4</v>
      </c>
      <c r="AT5" s="30" t="n">
        <f aca="false">INT((AT4-1)/12)+1</f>
        <v>4</v>
      </c>
      <c r="AU5" s="30" t="n">
        <f aca="false">INT((AU4-1)/12)+1</f>
        <v>4</v>
      </c>
      <c r="AV5" s="30" t="n">
        <f aca="false">INT((AV4-1)/12)+1</f>
        <v>4</v>
      </c>
      <c r="AW5" s="30" t="n">
        <f aca="false">INT((AW4-1)/12)+1</f>
        <v>4</v>
      </c>
      <c r="AX5" s="30" t="n">
        <f aca="false">INT((AX4-1)/12)+1</f>
        <v>4</v>
      </c>
      <c r="AY5" s="30" t="n">
        <f aca="false">INT((AY4-1)/12)+1</f>
        <v>5</v>
      </c>
      <c r="AZ5" s="30" t="n">
        <f aca="false">INT((AZ4-1)/12)+1</f>
        <v>5</v>
      </c>
      <c r="BA5" s="30" t="n">
        <f aca="false">INT((BA4-1)/12)+1</f>
        <v>5</v>
      </c>
      <c r="BB5" s="30" t="n">
        <f aca="false">INT((BB4-1)/12)+1</f>
        <v>5</v>
      </c>
      <c r="BC5" s="30" t="n">
        <f aca="false">INT((BC4-1)/12)+1</f>
        <v>5</v>
      </c>
      <c r="BD5" s="30" t="n">
        <f aca="false">INT((BD4-1)/12)+1</f>
        <v>5</v>
      </c>
      <c r="BE5" s="30" t="n">
        <f aca="false">INT((BE4-1)/12)+1</f>
        <v>5</v>
      </c>
      <c r="BF5" s="30" t="n">
        <f aca="false">INT((BF4-1)/12)+1</f>
        <v>5</v>
      </c>
      <c r="BG5" s="30" t="n">
        <f aca="false">INT((BG4-1)/12)+1</f>
        <v>5</v>
      </c>
      <c r="BH5" s="30" t="n">
        <f aca="false">INT((BH4-1)/12)+1</f>
        <v>5</v>
      </c>
      <c r="BI5" s="30" t="n">
        <f aca="false">INT((BI4-1)/12)+1</f>
        <v>5</v>
      </c>
      <c r="BJ5" s="30" t="n">
        <f aca="false">INT((BJ4-1)/12)+1</f>
        <v>5</v>
      </c>
      <c r="BK5" s="28" t="n">
        <v>1</v>
      </c>
      <c r="BL5" s="28" t="n">
        <v>2</v>
      </c>
      <c r="BM5" s="28" t="n">
        <v>3</v>
      </c>
      <c r="BN5" s="28" t="n">
        <v>4</v>
      </c>
      <c r="BO5" s="28" t="n">
        <v>5</v>
      </c>
    </row>
    <row r="6" customFormat="false" ht="15" hidden="false" customHeight="false" outlineLevel="0" collapsed="false">
      <c r="A6" s="5" t="s">
        <v>219</v>
      </c>
      <c r="B6" s="5" t="s">
        <v>74</v>
      </c>
      <c r="C6" s="31" t="n">
        <f aca="false">EDATE(Assumptions!$C$7,C4-1)</f>
        <v>46388</v>
      </c>
      <c r="D6" s="31" t="n">
        <f aca="false">EDATE(Assumptions!$C$7,D4-1)</f>
        <v>46419</v>
      </c>
      <c r="E6" s="31" t="n">
        <f aca="false">EDATE(Assumptions!$C$7,E4-1)</f>
        <v>46447</v>
      </c>
      <c r="F6" s="31" t="n">
        <f aca="false">EDATE(Assumptions!$C$7,F4-1)</f>
        <v>46478</v>
      </c>
      <c r="G6" s="31" t="n">
        <f aca="false">EDATE(Assumptions!$C$7,G4-1)</f>
        <v>46508</v>
      </c>
      <c r="H6" s="31" t="n">
        <f aca="false">EDATE(Assumptions!$C$7,H4-1)</f>
        <v>46539</v>
      </c>
      <c r="I6" s="31" t="n">
        <f aca="false">EDATE(Assumptions!$C$7,I4-1)</f>
        <v>46569</v>
      </c>
      <c r="J6" s="31" t="n">
        <f aca="false">EDATE(Assumptions!$C$7,J4-1)</f>
        <v>46600</v>
      </c>
      <c r="K6" s="31" t="n">
        <f aca="false">EDATE(Assumptions!$C$7,K4-1)</f>
        <v>46631</v>
      </c>
      <c r="L6" s="31" t="n">
        <f aca="false">EDATE(Assumptions!$C$7,L4-1)</f>
        <v>46661</v>
      </c>
      <c r="M6" s="31" t="n">
        <f aca="false">EDATE(Assumptions!$C$7,M4-1)</f>
        <v>46692</v>
      </c>
      <c r="N6" s="31" t="n">
        <f aca="false">EDATE(Assumptions!$C$7,N4-1)</f>
        <v>46722</v>
      </c>
      <c r="O6" s="31" t="n">
        <f aca="false">EDATE(Assumptions!$C$7,O4-1)</f>
        <v>46753</v>
      </c>
      <c r="P6" s="31" t="n">
        <f aca="false">EDATE(Assumptions!$C$7,P4-1)</f>
        <v>46784</v>
      </c>
      <c r="Q6" s="31" t="n">
        <f aca="false">EDATE(Assumptions!$C$7,Q4-1)</f>
        <v>46813</v>
      </c>
      <c r="R6" s="31" t="n">
        <f aca="false">EDATE(Assumptions!$C$7,R4-1)</f>
        <v>46844</v>
      </c>
      <c r="S6" s="31" t="n">
        <f aca="false">EDATE(Assumptions!$C$7,S4-1)</f>
        <v>46874</v>
      </c>
      <c r="T6" s="31" t="n">
        <f aca="false">EDATE(Assumptions!$C$7,T4-1)</f>
        <v>46905</v>
      </c>
      <c r="U6" s="31" t="n">
        <f aca="false">EDATE(Assumptions!$C$7,U4-1)</f>
        <v>46935</v>
      </c>
      <c r="V6" s="31" t="n">
        <f aca="false">EDATE(Assumptions!$C$7,V4-1)</f>
        <v>46966</v>
      </c>
      <c r="W6" s="31" t="n">
        <f aca="false">EDATE(Assumptions!$C$7,W4-1)</f>
        <v>46997</v>
      </c>
      <c r="X6" s="31" t="n">
        <f aca="false">EDATE(Assumptions!$C$7,X4-1)</f>
        <v>47027</v>
      </c>
      <c r="Y6" s="31" t="n">
        <f aca="false">EDATE(Assumptions!$C$7,Y4-1)</f>
        <v>47058</v>
      </c>
      <c r="Z6" s="31" t="n">
        <f aca="false">EDATE(Assumptions!$C$7,Z4-1)</f>
        <v>47088</v>
      </c>
      <c r="AA6" s="31" t="n">
        <f aca="false">EDATE(Assumptions!$C$7,AA4-1)</f>
        <v>47119</v>
      </c>
      <c r="AB6" s="31" t="n">
        <f aca="false">EDATE(Assumptions!$C$7,AB4-1)</f>
        <v>47150</v>
      </c>
      <c r="AC6" s="31" t="n">
        <f aca="false">EDATE(Assumptions!$C$7,AC4-1)</f>
        <v>47178</v>
      </c>
      <c r="AD6" s="31" t="n">
        <f aca="false">EDATE(Assumptions!$C$7,AD4-1)</f>
        <v>47209</v>
      </c>
      <c r="AE6" s="31" t="n">
        <f aca="false">EDATE(Assumptions!$C$7,AE4-1)</f>
        <v>47239</v>
      </c>
      <c r="AF6" s="31" t="n">
        <f aca="false">EDATE(Assumptions!$C$7,AF4-1)</f>
        <v>47270</v>
      </c>
      <c r="AG6" s="31" t="n">
        <f aca="false">EDATE(Assumptions!$C$7,AG4-1)</f>
        <v>47300</v>
      </c>
      <c r="AH6" s="31" t="n">
        <f aca="false">EDATE(Assumptions!$C$7,AH4-1)</f>
        <v>47331</v>
      </c>
      <c r="AI6" s="31" t="n">
        <f aca="false">EDATE(Assumptions!$C$7,AI4-1)</f>
        <v>47362</v>
      </c>
      <c r="AJ6" s="31" t="n">
        <f aca="false">EDATE(Assumptions!$C$7,AJ4-1)</f>
        <v>47392</v>
      </c>
      <c r="AK6" s="31" t="n">
        <f aca="false">EDATE(Assumptions!$C$7,AK4-1)</f>
        <v>47423</v>
      </c>
      <c r="AL6" s="31" t="n">
        <f aca="false">EDATE(Assumptions!$C$7,AL4-1)</f>
        <v>47453</v>
      </c>
      <c r="AM6" s="31" t="n">
        <f aca="false">EDATE(Assumptions!$C$7,AM4-1)</f>
        <v>47484</v>
      </c>
      <c r="AN6" s="31" t="n">
        <f aca="false">EDATE(Assumptions!$C$7,AN4-1)</f>
        <v>47515</v>
      </c>
      <c r="AO6" s="31" t="n">
        <f aca="false">EDATE(Assumptions!$C$7,AO4-1)</f>
        <v>47543</v>
      </c>
      <c r="AP6" s="31" t="n">
        <f aca="false">EDATE(Assumptions!$C$7,AP4-1)</f>
        <v>47574</v>
      </c>
      <c r="AQ6" s="31" t="n">
        <f aca="false">EDATE(Assumptions!$C$7,AQ4-1)</f>
        <v>47604</v>
      </c>
      <c r="AR6" s="31" t="n">
        <f aca="false">EDATE(Assumptions!$C$7,AR4-1)</f>
        <v>47635</v>
      </c>
      <c r="AS6" s="31" t="n">
        <f aca="false">EDATE(Assumptions!$C$7,AS4-1)</f>
        <v>47665</v>
      </c>
      <c r="AT6" s="31" t="n">
        <f aca="false">EDATE(Assumptions!$C$7,AT4-1)</f>
        <v>47696</v>
      </c>
      <c r="AU6" s="31" t="n">
        <f aca="false">EDATE(Assumptions!$C$7,AU4-1)</f>
        <v>47727</v>
      </c>
      <c r="AV6" s="31" t="n">
        <f aca="false">EDATE(Assumptions!$C$7,AV4-1)</f>
        <v>47757</v>
      </c>
      <c r="AW6" s="31" t="n">
        <f aca="false">EDATE(Assumptions!$C$7,AW4-1)</f>
        <v>47788</v>
      </c>
      <c r="AX6" s="31" t="n">
        <f aca="false">EDATE(Assumptions!$C$7,AX4-1)</f>
        <v>47818</v>
      </c>
      <c r="AY6" s="31" t="n">
        <f aca="false">EDATE(Assumptions!$C$7,AY4-1)</f>
        <v>47849</v>
      </c>
      <c r="AZ6" s="31" t="n">
        <f aca="false">EDATE(Assumptions!$C$7,AZ4-1)</f>
        <v>47880</v>
      </c>
      <c r="BA6" s="31" t="n">
        <f aca="false">EDATE(Assumptions!$C$7,BA4-1)</f>
        <v>47908</v>
      </c>
      <c r="BB6" s="31" t="n">
        <f aca="false">EDATE(Assumptions!$C$7,BB4-1)</f>
        <v>47939</v>
      </c>
      <c r="BC6" s="31" t="n">
        <f aca="false">EDATE(Assumptions!$C$7,BC4-1)</f>
        <v>47969</v>
      </c>
      <c r="BD6" s="31" t="n">
        <f aca="false">EDATE(Assumptions!$C$7,BD4-1)</f>
        <v>48000</v>
      </c>
      <c r="BE6" s="31" t="n">
        <f aca="false">EDATE(Assumptions!$C$7,BE4-1)</f>
        <v>48030</v>
      </c>
      <c r="BF6" s="31" t="n">
        <f aca="false">EDATE(Assumptions!$C$7,BF4-1)</f>
        <v>48061</v>
      </c>
      <c r="BG6" s="31" t="n">
        <f aca="false">EDATE(Assumptions!$C$7,BG4-1)</f>
        <v>48092</v>
      </c>
      <c r="BH6" s="31" t="n">
        <f aca="false">EDATE(Assumptions!$C$7,BH4-1)</f>
        <v>48122</v>
      </c>
      <c r="BI6" s="31" t="n">
        <f aca="false">EDATE(Assumptions!$C$7,BI4-1)</f>
        <v>48153</v>
      </c>
      <c r="BJ6" s="31" t="n">
        <f aca="false">EDATE(Assumptions!$C$7,BJ4-1)</f>
        <v>48183</v>
      </c>
      <c r="BK6" s="32" t="s">
        <v>54</v>
      </c>
      <c r="BL6" s="32" t="s">
        <v>55</v>
      </c>
      <c r="BM6" s="32" t="s">
        <v>56</v>
      </c>
      <c r="BN6" s="32" t="s">
        <v>220</v>
      </c>
      <c r="BO6" s="32" t="s">
        <v>221</v>
      </c>
    </row>
    <row r="7" customFormat="false" ht="15" hidden="false" customHeight="false" outlineLevel="0" collapsed="false">
      <c r="A7" s="18" t="s">
        <v>58</v>
      </c>
      <c r="B7" s="2"/>
      <c r="C7" s="44" t="n">
        <f aca="false">'P&amp;L'!C17</f>
        <v>-8182.88095238095</v>
      </c>
      <c r="D7" s="44" t="n">
        <f aca="false">'P&amp;L'!D17</f>
        <v>-5936.14496281642</v>
      </c>
      <c r="E7" s="44" t="n">
        <f aca="false">'P&amp;L'!E17</f>
        <v>-1947.40582833016</v>
      </c>
      <c r="F7" s="44" t="n">
        <f aca="false">'P&amp;L'!F17</f>
        <v>1543.68684966476</v>
      </c>
      <c r="G7" s="44" t="n">
        <f aca="false">'P&amp;L'!G17</f>
        <v>5283.68347274463</v>
      </c>
      <c r="H7" s="44" t="n">
        <f aca="false">'P&amp;L'!H17</f>
        <v>8028.33444549761</v>
      </c>
      <c r="I7" s="44" t="n">
        <f aca="false">'P&amp;L'!I17</f>
        <v>3514.69017554623</v>
      </c>
      <c r="J7" s="44" t="n">
        <f aca="false">'P&amp;L'!J17</f>
        <v>2277.85107357021</v>
      </c>
      <c r="K7" s="44" t="n">
        <f aca="false">'P&amp;L'!K17</f>
        <v>2285.31755332938</v>
      </c>
      <c r="L7" s="44" t="n">
        <f aca="false">'P&amp;L'!L17</f>
        <v>2292.84003168674</v>
      </c>
      <c r="M7" s="44" t="n">
        <f aca="false">'P&amp;L'!M17</f>
        <v>1056.16892863178</v>
      </c>
      <c r="N7" s="44" t="n">
        <f aca="false">'P&amp;L'!N17</f>
        <v>1063.8046673039</v>
      </c>
      <c r="O7" s="44" t="n">
        <f aca="false">'P&amp;L'!O17</f>
        <v>1357.35417401608</v>
      </c>
      <c r="P7" s="44" t="n">
        <f aca="false">'P&amp;L'!P17</f>
        <v>1365.10487827859</v>
      </c>
      <c r="Q7" s="44" t="n">
        <f aca="false">'P&amp;L'!Q17</f>
        <v>4099.77721282306</v>
      </c>
      <c r="R7" s="44" t="n">
        <f aca="false">'P&amp;L'!R17</f>
        <v>5471.07636362663</v>
      </c>
      <c r="S7" s="44" t="n">
        <f aca="false">'P&amp;L'!S17</f>
        <v>6842.43451993622</v>
      </c>
      <c r="T7" s="44" t="n">
        <f aca="false">'P&amp;L'!T17</f>
        <v>6850.42037429313</v>
      </c>
      <c r="U7" s="44" t="n">
        <f aca="false">'P&amp;L'!U17</f>
        <v>5495.03437255771</v>
      </c>
      <c r="V7" s="44" t="n">
        <f aca="false">'P&amp;L'!V17</f>
        <v>4139.70871393428</v>
      </c>
      <c r="W7" s="44" t="n">
        <f aca="false">'P&amp;L'!W17</f>
        <v>4147.87560099618</v>
      </c>
      <c r="X7" s="44" t="n">
        <f aca="false">'P&amp;L'!X17</f>
        <v>4156.10373971104</v>
      </c>
      <c r="Y7" s="44" t="n">
        <f aca="false">'P&amp;L'!Y17</f>
        <v>2800.96183946626</v>
      </c>
      <c r="Z7" s="44" t="n">
        <f aca="false">'P&amp;L'!Z17</f>
        <v>2809.31386309465</v>
      </c>
      <c r="AA7" s="44" t="n">
        <f aca="false">'P&amp;L'!AA17</f>
        <v>-909.649810199755</v>
      </c>
      <c r="AB7" s="44" t="n">
        <f aca="false">'P&amp;L'!AB17</f>
        <v>-901.172036415614</v>
      </c>
      <c r="AC7" s="44" t="n">
        <f aca="false">'P&amp;L'!AC17</f>
        <v>2096.39313877191</v>
      </c>
      <c r="AD7" s="44" t="n">
        <f aca="false">'P&amp;L'!AD17</f>
        <v>3599.51046508759</v>
      </c>
      <c r="AE7" s="44" t="n">
        <f aca="false">'P&amp;L'!AE17</f>
        <v>5102.69233203276</v>
      </c>
      <c r="AF7" s="44" t="n">
        <f aca="false">'P&amp;L'!AF17</f>
        <v>5111.42731461214</v>
      </c>
      <c r="AG7" s="44" t="n">
        <f aca="false">'P&amp;L'!AG17</f>
        <v>3625.71590051087</v>
      </c>
      <c r="AH7" s="44" t="n">
        <f aca="false">'P&amp;L'!AH17</f>
        <v>2140.07049012172</v>
      </c>
      <c r="AI7" s="44" t="n">
        <f aca="false">'P&amp;L'!AI17</f>
        <v>2149.00348752252</v>
      </c>
      <c r="AJ7" s="44" t="n">
        <f aca="false">'P&amp;L'!AJ17</f>
        <v>2158.00348240383</v>
      </c>
      <c r="AK7" s="44" t="n">
        <f aca="false">'P&amp;L'!AK17</f>
        <v>672.559068196747</v>
      </c>
      <c r="AL7" s="44" t="n">
        <f aca="false">'P&amp;L'!AL17</f>
        <v>681.694569250987</v>
      </c>
      <c r="AM7" s="44" t="n">
        <f aca="false">'P&amp;L'!AM17</f>
        <v>1183.67989414042</v>
      </c>
      <c r="AN7" s="44" t="n">
        <f aca="false">'P&amp;L'!AN17</f>
        <v>1192.9529415824</v>
      </c>
      <c r="AO7" s="44" t="n">
        <f aca="false">'P&amp;L'!AO17</f>
        <v>4479.75804203139</v>
      </c>
      <c r="AP7" s="44" t="n">
        <f aca="false">'P&amp;L'!AP17</f>
        <v>6127.90195936952</v>
      </c>
      <c r="AQ7" s="44" t="n">
        <f aca="false">'P&amp;L'!AQ17</f>
        <v>7776.11647169336</v>
      </c>
      <c r="AR7" s="44" t="n">
        <f aca="false">'P&amp;L'!AR17</f>
        <v>7785.67085588973</v>
      </c>
      <c r="AS7" s="44" t="n">
        <f aca="false">'P&amp;L'!AS17</f>
        <v>6156.56564539198</v>
      </c>
      <c r="AT7" s="44" t="n">
        <f aca="false">'P&amp;L'!AT17</f>
        <v>4527.53263020981</v>
      </c>
      <c r="AU7" s="44" t="n">
        <f aca="false">'P&amp;L'!AU17</f>
        <v>4537.30360438369</v>
      </c>
      <c r="AV7" s="44" t="n">
        <f aca="false">'P&amp;L'!AV17</f>
        <v>4547.14786086386</v>
      </c>
      <c r="AW7" s="44" t="n">
        <f aca="false">'P&amp;L'!AW17</f>
        <v>2918.33469669205</v>
      </c>
      <c r="AX7" s="44" t="n">
        <f aca="false">'P&amp;L'!AX17</f>
        <v>2928.32717075886</v>
      </c>
      <c r="AY7" s="44" t="n">
        <f aca="false">'P&amp;L'!AY17</f>
        <v>3358.30231545878</v>
      </c>
      <c r="AZ7" s="44" t="n">
        <f aca="false">'P&amp;L'!AZ17</f>
        <v>3368.44523871325</v>
      </c>
      <c r="BA7" s="44" t="n">
        <f aca="false">'P&amp;L'!BA17</f>
        <v>6973.59565706091</v>
      </c>
      <c r="BB7" s="44" t="n">
        <f aca="false">'P&amp;L'!BB17</f>
        <v>8781.35700628801</v>
      </c>
      <c r="BC7" s="44" t="n">
        <f aca="false">'P&amp;L'!BC17</f>
        <v>10589.1955727974</v>
      </c>
      <c r="BD7" s="44" t="n">
        <f aca="false">'P&amp;L'!BD17</f>
        <v>10599.6462241344</v>
      </c>
      <c r="BE7" s="44" t="n">
        <f aca="false">'P&amp;L'!BE17</f>
        <v>8812.70954377205</v>
      </c>
      <c r="BF7" s="44" t="n">
        <f aca="false">'P&amp;L'!BF17</f>
        <v>7025.85183114385</v>
      </c>
      <c r="BG7" s="44" t="n">
        <f aca="false">'P&amp;L'!BG17</f>
        <v>7036.5393900922</v>
      </c>
      <c r="BH7" s="44" t="n">
        <f aca="false">'P&amp;L'!BH17</f>
        <v>7047.30710573266</v>
      </c>
      <c r="BI7" s="44" t="n">
        <f aca="false">'P&amp;L'!BI17</f>
        <v>5260.68986765605</v>
      </c>
      <c r="BJ7" s="44" t="n">
        <f aca="false">'P&amp;L'!BJ17</f>
        <v>5271.61970471512</v>
      </c>
      <c r="BK7" s="43" t="n">
        <f aca="false">SUMIF($C$5:$BJ$5,BK$5,$C7:$BJ7)</f>
        <v>11279.9454544477</v>
      </c>
      <c r="BL7" s="43" t="n">
        <f aca="false">SUMIF($C$5:$BJ$5,BL$5,$C7:$BJ7)</f>
        <v>49535.1656527338</v>
      </c>
      <c r="BM7" s="43" t="n">
        <f aca="false">SUMIF($C$5:$BJ$5,BM$5,$C7:$BJ7)</f>
        <v>25526.2484018957</v>
      </c>
      <c r="BN7" s="43" t="n">
        <f aca="false">SUMIF($C$5:$BJ$5,BN$5,$C7:$BJ7)</f>
        <v>54161.2917730071</v>
      </c>
      <c r="BO7" s="43" t="n">
        <f aca="false">SUMIF($C$5:$BJ$5,BO$5,$C7:$BJ7)</f>
        <v>84125.2594575647</v>
      </c>
    </row>
    <row r="8" customFormat="false" ht="15" hidden="false" customHeight="false" outlineLevel="0" collapsed="false">
      <c r="A8" s="18" t="s">
        <v>290</v>
      </c>
      <c r="B8" s="2"/>
      <c r="C8" s="44" t="n">
        <f aca="false">'P&amp;L'!C13</f>
        <v>1327.38095238095</v>
      </c>
      <c r="D8" s="44" t="n">
        <f aca="false">'P&amp;L'!D13</f>
        <v>1327.38095238095</v>
      </c>
      <c r="E8" s="44" t="n">
        <f aca="false">'P&amp;L'!E13</f>
        <v>1327.38095238095</v>
      </c>
      <c r="F8" s="44" t="n">
        <f aca="false">'P&amp;L'!F13</f>
        <v>1327.38095238095</v>
      </c>
      <c r="G8" s="44" t="n">
        <f aca="false">'P&amp;L'!G13</f>
        <v>1327.38095238095</v>
      </c>
      <c r="H8" s="44" t="n">
        <f aca="false">'P&amp;L'!H13</f>
        <v>1327.38095238095</v>
      </c>
      <c r="I8" s="44" t="n">
        <f aca="false">'P&amp;L'!I13</f>
        <v>1327.38095238095</v>
      </c>
      <c r="J8" s="44" t="n">
        <f aca="false">'P&amp;L'!J13</f>
        <v>1327.38095238095</v>
      </c>
      <c r="K8" s="44" t="n">
        <f aca="false">'P&amp;L'!K13</f>
        <v>1327.38095238095</v>
      </c>
      <c r="L8" s="44" t="n">
        <f aca="false">'P&amp;L'!L13</f>
        <v>1327.38095238095</v>
      </c>
      <c r="M8" s="44" t="n">
        <f aca="false">'P&amp;L'!M13</f>
        <v>1327.38095238095</v>
      </c>
      <c r="N8" s="44" t="n">
        <f aca="false">'P&amp;L'!N13</f>
        <v>1327.38095238095</v>
      </c>
      <c r="O8" s="44" t="n">
        <f aca="false">'P&amp;L'!O13</f>
        <v>1327.38095238095</v>
      </c>
      <c r="P8" s="44" t="n">
        <f aca="false">'P&amp;L'!P13</f>
        <v>1327.38095238095</v>
      </c>
      <c r="Q8" s="44" t="n">
        <f aca="false">'P&amp;L'!Q13</f>
        <v>1327.38095238095</v>
      </c>
      <c r="R8" s="44" t="n">
        <f aca="false">'P&amp;L'!R13</f>
        <v>1327.38095238095</v>
      </c>
      <c r="S8" s="44" t="n">
        <f aca="false">'P&amp;L'!S13</f>
        <v>1327.38095238095</v>
      </c>
      <c r="T8" s="44" t="n">
        <f aca="false">'P&amp;L'!T13</f>
        <v>1327.38095238095</v>
      </c>
      <c r="U8" s="44" t="n">
        <f aca="false">'P&amp;L'!U13</f>
        <v>1327.38095238095</v>
      </c>
      <c r="V8" s="44" t="n">
        <f aca="false">'P&amp;L'!V13</f>
        <v>1327.38095238095</v>
      </c>
      <c r="W8" s="44" t="n">
        <f aca="false">'P&amp;L'!W13</f>
        <v>1327.38095238095</v>
      </c>
      <c r="X8" s="44" t="n">
        <f aca="false">'P&amp;L'!X13</f>
        <v>1327.38095238095</v>
      </c>
      <c r="Y8" s="44" t="n">
        <f aca="false">'P&amp;L'!Y13</f>
        <v>1327.38095238095</v>
      </c>
      <c r="Z8" s="44" t="n">
        <f aca="false">'P&amp;L'!Z13</f>
        <v>1327.38095238095</v>
      </c>
      <c r="AA8" s="44" t="n">
        <f aca="false">'P&amp;L'!AA13</f>
        <v>1327.38095238095</v>
      </c>
      <c r="AB8" s="44" t="n">
        <f aca="false">'P&amp;L'!AB13</f>
        <v>1327.38095238095</v>
      </c>
      <c r="AC8" s="44" t="n">
        <f aca="false">'P&amp;L'!AC13</f>
        <v>1327.38095238095</v>
      </c>
      <c r="AD8" s="44" t="n">
        <f aca="false">'P&amp;L'!AD13</f>
        <v>1327.38095238095</v>
      </c>
      <c r="AE8" s="44" t="n">
        <f aca="false">'P&amp;L'!AE13</f>
        <v>1327.38095238095</v>
      </c>
      <c r="AF8" s="44" t="n">
        <f aca="false">'P&amp;L'!AF13</f>
        <v>1327.38095238095</v>
      </c>
      <c r="AG8" s="44" t="n">
        <f aca="false">'P&amp;L'!AG13</f>
        <v>1327.38095238095</v>
      </c>
      <c r="AH8" s="44" t="n">
        <f aca="false">'P&amp;L'!AH13</f>
        <v>1327.38095238095</v>
      </c>
      <c r="AI8" s="44" t="n">
        <f aca="false">'P&amp;L'!AI13</f>
        <v>1327.38095238095</v>
      </c>
      <c r="AJ8" s="44" t="n">
        <f aca="false">'P&amp;L'!AJ13</f>
        <v>1327.38095238095</v>
      </c>
      <c r="AK8" s="44" t="n">
        <f aca="false">'P&amp;L'!AK13</f>
        <v>1327.38095238095</v>
      </c>
      <c r="AL8" s="44" t="n">
        <f aca="false">'P&amp;L'!AL13</f>
        <v>1327.38095238095</v>
      </c>
      <c r="AM8" s="44" t="n">
        <f aca="false">'P&amp;L'!AM13</f>
        <v>1160.71428571429</v>
      </c>
      <c r="AN8" s="44" t="n">
        <f aca="false">'P&amp;L'!AN13</f>
        <v>1160.71428571429</v>
      </c>
      <c r="AO8" s="44" t="n">
        <f aca="false">'P&amp;L'!AO13</f>
        <v>1160.71428571429</v>
      </c>
      <c r="AP8" s="44" t="n">
        <f aca="false">'P&amp;L'!AP13</f>
        <v>1160.71428571429</v>
      </c>
      <c r="AQ8" s="44" t="n">
        <f aca="false">'P&amp;L'!AQ13</f>
        <v>1160.71428571429</v>
      </c>
      <c r="AR8" s="44" t="n">
        <f aca="false">'P&amp;L'!AR13</f>
        <v>1160.71428571429</v>
      </c>
      <c r="AS8" s="44" t="n">
        <f aca="false">'P&amp;L'!AS13</f>
        <v>1160.71428571429</v>
      </c>
      <c r="AT8" s="44" t="n">
        <f aca="false">'P&amp;L'!AT13</f>
        <v>1160.71428571429</v>
      </c>
      <c r="AU8" s="44" t="n">
        <f aca="false">'P&amp;L'!AU13</f>
        <v>1160.71428571429</v>
      </c>
      <c r="AV8" s="44" t="n">
        <f aca="false">'P&amp;L'!AV13</f>
        <v>1160.71428571429</v>
      </c>
      <c r="AW8" s="44" t="n">
        <f aca="false">'P&amp;L'!AW13</f>
        <v>1160.71428571429</v>
      </c>
      <c r="AX8" s="44" t="n">
        <f aca="false">'P&amp;L'!AX13</f>
        <v>1160.71428571429</v>
      </c>
      <c r="AY8" s="44" t="n">
        <f aca="false">'P&amp;L'!AY13</f>
        <v>1160.71428571429</v>
      </c>
      <c r="AZ8" s="44" t="n">
        <f aca="false">'P&amp;L'!AZ13</f>
        <v>1160.71428571429</v>
      </c>
      <c r="BA8" s="44" t="n">
        <f aca="false">'P&amp;L'!BA13</f>
        <v>1160.71428571429</v>
      </c>
      <c r="BB8" s="44" t="n">
        <f aca="false">'P&amp;L'!BB13</f>
        <v>1160.71428571429</v>
      </c>
      <c r="BC8" s="44" t="n">
        <f aca="false">'P&amp;L'!BC13</f>
        <v>1160.71428571429</v>
      </c>
      <c r="BD8" s="44" t="n">
        <f aca="false">'P&amp;L'!BD13</f>
        <v>1160.71428571429</v>
      </c>
      <c r="BE8" s="44" t="n">
        <f aca="false">'P&amp;L'!BE13</f>
        <v>1160.71428571429</v>
      </c>
      <c r="BF8" s="44" t="n">
        <f aca="false">'P&amp;L'!BF13</f>
        <v>1160.71428571429</v>
      </c>
      <c r="BG8" s="44" t="n">
        <f aca="false">'P&amp;L'!BG13</f>
        <v>1160.71428571429</v>
      </c>
      <c r="BH8" s="44" t="n">
        <f aca="false">'P&amp;L'!BH13</f>
        <v>1160.71428571429</v>
      </c>
      <c r="BI8" s="44" t="n">
        <f aca="false">'P&amp;L'!BI13</f>
        <v>1160.71428571429</v>
      </c>
      <c r="BJ8" s="44" t="n">
        <f aca="false">'P&amp;L'!BJ13</f>
        <v>1160.71428571429</v>
      </c>
      <c r="BK8" s="43" t="n">
        <f aca="false">SUMIF($C$5:$BJ$5,BK$5,$C8:$BJ8)</f>
        <v>15928.5714285714</v>
      </c>
      <c r="BL8" s="43" t="n">
        <f aca="false">SUMIF($C$5:$BJ$5,BL$5,$C8:$BJ8)</f>
        <v>15928.5714285714</v>
      </c>
      <c r="BM8" s="43" t="n">
        <f aca="false">SUMIF($C$5:$BJ$5,BM$5,$C8:$BJ8)</f>
        <v>15928.5714285714</v>
      </c>
      <c r="BN8" s="43" t="n">
        <f aca="false">SUMIF($C$5:$BJ$5,BN$5,$C8:$BJ8)</f>
        <v>13928.5714285714</v>
      </c>
      <c r="BO8" s="43" t="n">
        <f aca="false">SUMIF($C$5:$BJ$5,BO$5,$C8:$BJ8)</f>
        <v>13928.5714285714</v>
      </c>
    </row>
    <row r="9" customFormat="false" ht="15" hidden="false" customHeight="false" outlineLevel="0" collapsed="false">
      <c r="A9" s="39" t="s">
        <v>291</v>
      </c>
      <c r="B9" s="40"/>
      <c r="C9" s="41" t="n">
        <f aca="false">C7+C8</f>
        <v>-6855.5</v>
      </c>
      <c r="D9" s="41" t="n">
        <f aca="false">D7+D8</f>
        <v>-4608.76401043547</v>
      </c>
      <c r="E9" s="41" t="n">
        <f aca="false">E7+E8</f>
        <v>-620.024875949202</v>
      </c>
      <c r="F9" s="41" t="n">
        <f aca="false">F7+F8</f>
        <v>2871.06780204571</v>
      </c>
      <c r="G9" s="41" t="n">
        <f aca="false">G7+G8</f>
        <v>6611.06442512558</v>
      </c>
      <c r="H9" s="41" t="n">
        <f aca="false">H7+H8</f>
        <v>9355.71539787857</v>
      </c>
      <c r="I9" s="41" t="n">
        <f aca="false">I7+I8</f>
        <v>4842.07112792718</v>
      </c>
      <c r="J9" s="41" t="n">
        <f aca="false">J7+J8</f>
        <v>3605.23202595116</v>
      </c>
      <c r="K9" s="41" t="n">
        <f aca="false">K7+K8</f>
        <v>3612.69850571033</v>
      </c>
      <c r="L9" s="41" t="n">
        <f aca="false">L7+L8</f>
        <v>3620.22098406769</v>
      </c>
      <c r="M9" s="41" t="n">
        <f aca="false">M7+M8</f>
        <v>2383.54988101273</v>
      </c>
      <c r="N9" s="41" t="n">
        <f aca="false">N7+N8</f>
        <v>2391.18561968486</v>
      </c>
      <c r="O9" s="41" t="n">
        <f aca="false">O7+O8</f>
        <v>2684.73512639703</v>
      </c>
      <c r="P9" s="41" t="n">
        <f aca="false">P7+P8</f>
        <v>2692.48583065954</v>
      </c>
      <c r="Q9" s="41" t="n">
        <f aca="false">Q7+Q8</f>
        <v>5427.15816520401</v>
      </c>
      <c r="R9" s="41" t="n">
        <f aca="false">R7+R8</f>
        <v>6798.45731600758</v>
      </c>
      <c r="S9" s="41" t="n">
        <f aca="false">S7+S8</f>
        <v>8169.81547231717</v>
      </c>
      <c r="T9" s="41" t="n">
        <f aca="false">T7+T8</f>
        <v>8177.80132667408</v>
      </c>
      <c r="U9" s="41" t="n">
        <f aca="false">U7+U8</f>
        <v>6822.41532493866</v>
      </c>
      <c r="V9" s="41" t="n">
        <f aca="false">V7+V8</f>
        <v>5467.08966631523</v>
      </c>
      <c r="W9" s="41" t="n">
        <f aca="false">W7+W8</f>
        <v>5475.25655337713</v>
      </c>
      <c r="X9" s="41" t="n">
        <f aca="false">X7+X8</f>
        <v>5483.48469209199</v>
      </c>
      <c r="Y9" s="41" t="n">
        <f aca="false">Y7+Y8</f>
        <v>4128.34279184721</v>
      </c>
      <c r="Z9" s="41" t="n">
        <f aca="false">Z7+Z8</f>
        <v>4136.6948154756</v>
      </c>
      <c r="AA9" s="41" t="n">
        <f aca="false">AA7+AA8</f>
        <v>417.731142181197</v>
      </c>
      <c r="AB9" s="41" t="n">
        <f aca="false">AB7+AB8</f>
        <v>426.208915965338</v>
      </c>
      <c r="AC9" s="41" t="n">
        <f aca="false">AC7+AC8</f>
        <v>3423.77409115286</v>
      </c>
      <c r="AD9" s="41" t="n">
        <f aca="false">AD7+AD8</f>
        <v>4926.89141746854</v>
      </c>
      <c r="AE9" s="41" t="n">
        <f aca="false">AE7+AE8</f>
        <v>6430.07328441371</v>
      </c>
      <c r="AF9" s="41" t="n">
        <f aca="false">AF7+AF8</f>
        <v>6438.80826699309</v>
      </c>
      <c r="AG9" s="41" t="n">
        <f aca="false">AG7+AG8</f>
        <v>4953.09685289183</v>
      </c>
      <c r="AH9" s="41" t="n">
        <f aca="false">AH7+AH8</f>
        <v>3467.45144250267</v>
      </c>
      <c r="AI9" s="41" t="n">
        <f aca="false">AI7+AI8</f>
        <v>3476.38443990347</v>
      </c>
      <c r="AJ9" s="41" t="n">
        <f aca="false">AJ7+AJ8</f>
        <v>3485.38443478478</v>
      </c>
      <c r="AK9" s="41" t="n">
        <f aca="false">AK7+AK8</f>
        <v>1999.9400205777</v>
      </c>
      <c r="AL9" s="41" t="n">
        <f aca="false">AL7+AL8</f>
        <v>2009.07552163194</v>
      </c>
      <c r="AM9" s="41" t="n">
        <f aca="false">AM7+AM8</f>
        <v>2344.3941798547</v>
      </c>
      <c r="AN9" s="41" t="n">
        <f aca="false">AN7+AN8</f>
        <v>2353.66722729669</v>
      </c>
      <c r="AO9" s="41" t="n">
        <f aca="false">AO7+AO8</f>
        <v>5640.47232774568</v>
      </c>
      <c r="AP9" s="41" t="n">
        <f aca="false">AP7+AP8</f>
        <v>7288.6162450838</v>
      </c>
      <c r="AQ9" s="41" t="n">
        <f aca="false">AQ7+AQ8</f>
        <v>8936.83075740765</v>
      </c>
      <c r="AR9" s="41" t="n">
        <f aca="false">AR7+AR8</f>
        <v>8946.38514160402</v>
      </c>
      <c r="AS9" s="41" t="n">
        <f aca="false">AS7+AS8</f>
        <v>7317.27993110626</v>
      </c>
      <c r="AT9" s="41" t="n">
        <f aca="false">AT7+AT8</f>
        <v>5688.2469159241</v>
      </c>
      <c r="AU9" s="41" t="n">
        <f aca="false">AU7+AU8</f>
        <v>5698.01789009797</v>
      </c>
      <c r="AV9" s="41" t="n">
        <f aca="false">AV7+AV8</f>
        <v>5707.86214657815</v>
      </c>
      <c r="AW9" s="41" t="n">
        <f aca="false">AW7+AW8</f>
        <v>4079.04898240634</v>
      </c>
      <c r="AX9" s="41" t="n">
        <f aca="false">AX7+AX8</f>
        <v>4089.04145647314</v>
      </c>
      <c r="AY9" s="41" t="n">
        <f aca="false">AY7+AY8</f>
        <v>4519.01660117306</v>
      </c>
      <c r="AZ9" s="41" t="n">
        <f aca="false">AZ7+AZ8</f>
        <v>4529.15952442754</v>
      </c>
      <c r="BA9" s="41" t="n">
        <f aca="false">BA7+BA8</f>
        <v>8134.30994277519</v>
      </c>
      <c r="BB9" s="41" t="n">
        <f aca="false">BB7+BB8</f>
        <v>9942.07129200229</v>
      </c>
      <c r="BC9" s="41" t="n">
        <f aca="false">BC7+BC8</f>
        <v>11749.9098585117</v>
      </c>
      <c r="BD9" s="41" t="n">
        <f aca="false">BD7+BD8</f>
        <v>11760.3605098487</v>
      </c>
      <c r="BE9" s="41" t="n">
        <f aca="false">BE7+BE8</f>
        <v>9973.42382948634</v>
      </c>
      <c r="BF9" s="41" t="n">
        <f aca="false">BF7+BF8</f>
        <v>8186.56611685814</v>
      </c>
      <c r="BG9" s="41" t="n">
        <f aca="false">BG7+BG8</f>
        <v>8197.25367580649</v>
      </c>
      <c r="BH9" s="41" t="n">
        <f aca="false">BH7+BH8</f>
        <v>8208.02139144695</v>
      </c>
      <c r="BI9" s="41" t="n">
        <f aca="false">BI7+BI8</f>
        <v>6421.40415337033</v>
      </c>
      <c r="BJ9" s="41" t="n">
        <f aca="false">BJ7+BJ8</f>
        <v>6432.33399042941</v>
      </c>
      <c r="BK9" s="42" t="n">
        <f aca="false">SUMIF($C$5:$BJ$5,BK$5,$C9:$BJ9)</f>
        <v>27208.5168830191</v>
      </c>
      <c r="BL9" s="42" t="n">
        <f aca="false">SUMIF($C$5:$BJ$5,BL$5,$C9:$BJ9)</f>
        <v>65463.7370813052</v>
      </c>
      <c r="BM9" s="42" t="n">
        <f aca="false">SUMIF($C$5:$BJ$5,BM$5,$C9:$BJ9)</f>
        <v>41454.8198304671</v>
      </c>
      <c r="BN9" s="42" t="n">
        <f aca="false">SUMIF($C$5:$BJ$5,BN$5,$C9:$BJ9)</f>
        <v>68089.8632015785</v>
      </c>
      <c r="BO9" s="42" t="n">
        <f aca="false">SUMIF($C$5:$BJ$5,BO$5,$C9:$BJ9)</f>
        <v>98053.8308861362</v>
      </c>
    </row>
    <row r="10" customFormat="false" ht="15" hidden="false" customHeight="false" outlineLevel="0" collapsed="false">
      <c r="A10" s="18" t="s">
        <v>292</v>
      </c>
      <c r="B10" s="2"/>
      <c r="C10" s="44" t="n">
        <f aca="false">-INDEX(Loan!$F$14:$F$373,C4)</f>
        <v>-944.798608604241</v>
      </c>
      <c r="D10" s="44" t="n">
        <f aca="false">-INDEX(Loan!$F$14:$F$373,D4)</f>
        <v>-951.884598168773</v>
      </c>
      <c r="E10" s="44" t="n">
        <f aca="false">-INDEX(Loan!$F$14:$F$373,E4)</f>
        <v>-959.023732655038</v>
      </c>
      <c r="F10" s="44" t="n">
        <f aca="false">-INDEX(Loan!$F$14:$F$373,F4)</f>
        <v>-966.216410649951</v>
      </c>
      <c r="G10" s="44" t="n">
        <f aca="false">-INDEX(Loan!$F$14:$F$373,G4)</f>
        <v>-973.463033729826</v>
      </c>
      <c r="H10" s="44" t="n">
        <f aca="false">-INDEX(Loan!$F$14:$F$373,H4)</f>
        <v>-980.7640064828</v>
      </c>
      <c r="I10" s="44" t="n">
        <f aca="false">-INDEX(Loan!$F$14:$F$373,I4)</f>
        <v>-988.119736531421</v>
      </c>
      <c r="J10" s="44" t="n">
        <f aca="false">-INDEX(Loan!$F$14:$F$373,J4)</f>
        <v>-995.530634555406</v>
      </c>
      <c r="K10" s="44" t="n">
        <f aca="false">-INDEX(Loan!$F$14:$F$373,K4)</f>
        <v>-1002.99711431457</v>
      </c>
      <c r="L10" s="44" t="n">
        <f aca="false">-INDEX(Loan!$F$14:$F$373,L4)</f>
        <v>-1010.51959267193</v>
      </c>
      <c r="M10" s="44" t="n">
        <f aca="false">-INDEX(Loan!$F$14:$F$373,M4)</f>
        <v>-1018.09848961697</v>
      </c>
      <c r="N10" s="44" t="n">
        <f aca="false">-INDEX(Loan!$F$14:$F$373,N4)</f>
        <v>-1025.7342282891</v>
      </c>
      <c r="O10" s="44" t="n">
        <f aca="false">-INDEX(Loan!$F$14:$F$373,O4)</f>
        <v>-1033.42723500127</v>
      </c>
      <c r="P10" s="44" t="n">
        <f aca="false">-INDEX(Loan!$F$14:$F$373,P4)</f>
        <v>-1041.17793926378</v>
      </c>
      <c r="Q10" s="44" t="n">
        <f aca="false">-INDEX(Loan!$F$14:$F$373,Q4)</f>
        <v>-1048.98677380825</v>
      </c>
      <c r="R10" s="44" t="n">
        <f aca="false">-INDEX(Loan!$F$14:$F$373,R4)</f>
        <v>-1056.85417461182</v>
      </c>
      <c r="S10" s="44" t="n">
        <f aca="false">-INDEX(Loan!$F$14:$F$373,S4)</f>
        <v>-1064.7805809214</v>
      </c>
      <c r="T10" s="44" t="n">
        <f aca="false">-INDEX(Loan!$F$14:$F$373,T4)</f>
        <v>-1072.76643527832</v>
      </c>
      <c r="U10" s="44" t="n">
        <f aca="false">-INDEX(Loan!$F$14:$F$373,U4)</f>
        <v>-1080.8121835429</v>
      </c>
      <c r="V10" s="44" t="n">
        <f aca="false">-INDEX(Loan!$F$14:$F$373,V4)</f>
        <v>-1088.91827491947</v>
      </c>
      <c r="W10" s="44" t="n">
        <f aca="false">-INDEX(Loan!$F$14:$F$373,W4)</f>
        <v>-1097.08516198137</v>
      </c>
      <c r="X10" s="44" t="n">
        <f aca="false">-INDEX(Loan!$F$14:$F$373,X4)</f>
        <v>-1105.31330069623</v>
      </c>
      <c r="Y10" s="44" t="n">
        <f aca="false">-INDEX(Loan!$F$14:$F$373,Y4)</f>
        <v>-1113.60315045145</v>
      </c>
      <c r="Z10" s="44" t="n">
        <f aca="false">-INDEX(Loan!$F$14:$F$373,Z4)</f>
        <v>-1121.95517407984</v>
      </c>
      <c r="AA10" s="44" t="n">
        <f aca="false">-INDEX(Loan!$F$14:$F$373,AA4)</f>
        <v>-1130.36983788544</v>
      </c>
      <c r="AB10" s="44" t="n">
        <f aca="false">-INDEX(Loan!$F$14:$F$373,AB4)</f>
        <v>-1138.84761166958</v>
      </c>
      <c r="AC10" s="44" t="n">
        <f aca="false">-INDEX(Loan!$F$14:$F$373,AC4)</f>
        <v>-1147.3889687571</v>
      </c>
      <c r="AD10" s="44" t="n">
        <f aca="false">-INDEX(Loan!$F$14:$F$373,AD4)</f>
        <v>-1155.99438602278</v>
      </c>
      <c r="AE10" s="44" t="n">
        <f aca="false">-INDEX(Loan!$F$14:$F$373,AE4)</f>
        <v>-1164.66434391795</v>
      </c>
      <c r="AF10" s="44" t="n">
        <f aca="false">-INDEX(Loan!$F$14:$F$373,AF4)</f>
        <v>-1173.39932649733</v>
      </c>
      <c r="AG10" s="44" t="n">
        <f aca="false">-INDEX(Loan!$F$14:$F$373,AG4)</f>
        <v>-1182.19982144606</v>
      </c>
      <c r="AH10" s="44" t="n">
        <f aca="false">-INDEX(Loan!$F$14:$F$373,AH4)</f>
        <v>-1191.06632010691</v>
      </c>
      <c r="AI10" s="44" t="n">
        <f aca="false">-INDEX(Loan!$F$14:$F$373,AI4)</f>
        <v>-1199.99931750771</v>
      </c>
      <c r="AJ10" s="44" t="n">
        <f aca="false">-INDEX(Loan!$F$14:$F$373,AJ4)</f>
        <v>-1208.99931238902</v>
      </c>
      <c r="AK10" s="44" t="n">
        <f aca="false">-INDEX(Loan!$F$14:$F$373,AK4)</f>
        <v>-1218.06680723194</v>
      </c>
      <c r="AL10" s="44" t="n">
        <f aca="false">-INDEX(Loan!$F$14:$F$373,AL4)</f>
        <v>-1227.20230828618</v>
      </c>
      <c r="AM10" s="44" t="n">
        <f aca="false">-INDEX(Loan!$F$14:$F$373,AM4)</f>
        <v>-1236.40632559832</v>
      </c>
      <c r="AN10" s="44" t="n">
        <f aca="false">-INDEX(Loan!$F$14:$F$373,AN4)</f>
        <v>-1245.67937304031</v>
      </c>
      <c r="AO10" s="44" t="n">
        <f aca="false">-INDEX(Loan!$F$14:$F$373,AO4)</f>
        <v>-1255.02196833811</v>
      </c>
      <c r="AP10" s="44" t="n">
        <f aca="false">-INDEX(Loan!$F$14:$F$373,AP4)</f>
        <v>-1264.43463310065</v>
      </c>
      <c r="AQ10" s="44" t="n">
        <f aca="false">-INDEX(Loan!$F$14:$F$373,AQ4)</f>
        <v>-1273.9178928489</v>
      </c>
      <c r="AR10" s="44" t="n">
        <f aca="false">-INDEX(Loan!$F$14:$F$373,AR4)</f>
        <v>-1283.47227704527</v>
      </c>
      <c r="AS10" s="44" t="n">
        <f aca="false">-INDEX(Loan!$F$14:$F$373,AS4)</f>
        <v>-1293.09831912311</v>
      </c>
      <c r="AT10" s="44" t="n">
        <f aca="false">-INDEX(Loan!$F$14:$F$373,AT4)</f>
        <v>-1302.79655651653</v>
      </c>
      <c r="AU10" s="44" t="n">
        <f aca="false">-INDEX(Loan!$F$14:$F$373,AU4)</f>
        <v>-1312.56753069041</v>
      </c>
      <c r="AV10" s="44" t="n">
        <f aca="false">-INDEX(Loan!$F$14:$F$373,AV4)</f>
        <v>-1322.41178717058</v>
      </c>
      <c r="AW10" s="44" t="n">
        <f aca="false">-INDEX(Loan!$F$14:$F$373,AW4)</f>
        <v>-1332.32987557436</v>
      </c>
      <c r="AX10" s="44" t="n">
        <f aca="false">-INDEX(Loan!$F$14:$F$373,AX4)</f>
        <v>-1342.32234964117</v>
      </c>
      <c r="AY10" s="44" t="n">
        <f aca="false">-INDEX(Loan!$F$14:$F$373,AY4)</f>
        <v>-1352.38976726348</v>
      </c>
      <c r="AZ10" s="44" t="n">
        <f aca="false">-INDEX(Loan!$F$14:$F$373,AZ4)</f>
        <v>-1362.53269051796</v>
      </c>
      <c r="BA10" s="44" t="n">
        <f aca="false">-INDEX(Loan!$F$14:$F$373,BA4)</f>
        <v>-1372.75168569684</v>
      </c>
      <c r="BB10" s="44" t="n">
        <f aca="false">-INDEX(Loan!$F$14:$F$373,BB4)</f>
        <v>-1383.04732333957</v>
      </c>
      <c r="BC10" s="44" t="n">
        <f aca="false">-INDEX(Loan!$F$14:$F$373,BC4)</f>
        <v>-1393.42017826461</v>
      </c>
      <c r="BD10" s="44" t="n">
        <f aca="false">-INDEX(Loan!$F$14:$F$373,BD4)</f>
        <v>-1403.8708296016</v>
      </c>
      <c r="BE10" s="44" t="n">
        <f aca="false">-INDEX(Loan!$F$14:$F$373,BE4)</f>
        <v>-1414.39986082361</v>
      </c>
      <c r="BF10" s="44" t="n">
        <f aca="false">-INDEX(Loan!$F$14:$F$373,BF4)</f>
        <v>-1425.00785977979</v>
      </c>
      <c r="BG10" s="44" t="n">
        <f aca="false">-INDEX(Loan!$F$14:$F$373,BG4)</f>
        <v>-1435.69541872814</v>
      </c>
      <c r="BH10" s="44" t="n">
        <f aca="false">-INDEX(Loan!$F$14:$F$373,BH4)</f>
        <v>-1446.4631343686</v>
      </c>
      <c r="BI10" s="44" t="n">
        <f aca="false">-INDEX(Loan!$F$14:$F$373,BI4)</f>
        <v>-1457.31160787636</v>
      </c>
      <c r="BJ10" s="44" t="n">
        <f aca="false">-INDEX(Loan!$F$14:$F$373,BJ4)</f>
        <v>-1468.24144493543</v>
      </c>
      <c r="BK10" s="43" t="n">
        <f aca="false">SUMIF($C$5:$BJ$5,BK$5,$C10:$BJ10)</f>
        <v>-11817.15018627</v>
      </c>
      <c r="BL10" s="43" t="n">
        <f aca="false">SUMIF($C$5:$BJ$5,BL$5,$C10:$BJ10)</f>
        <v>-12925.6803845561</v>
      </c>
      <c r="BM10" s="43" t="n">
        <f aca="false">SUMIF($C$5:$BJ$5,BM$5,$C10:$BJ10)</f>
        <v>-14138.198361718</v>
      </c>
      <c r="BN10" s="43" t="n">
        <f aca="false">SUMIF($C$5:$BJ$5,BN$5,$C10:$BJ10)</f>
        <v>-15464.4588886877</v>
      </c>
      <c r="BO10" s="43" t="n">
        <f aca="false">SUMIF($C$5:$BJ$5,BO$5,$C10:$BJ10)</f>
        <v>-16915.131801196</v>
      </c>
    </row>
    <row r="11" customFormat="false" ht="15" hidden="false" customHeight="false" outlineLevel="0" collapsed="false">
      <c r="A11" s="18" t="s">
        <v>293</v>
      </c>
      <c r="B11" s="2"/>
      <c r="C11" s="14" t="n">
        <f aca="false">-Assumptions!$C$102</f>
        <v>-0</v>
      </c>
      <c r="D11" s="14" t="n">
        <f aca="false">-Assumptions!$C$102</f>
        <v>-0</v>
      </c>
      <c r="E11" s="14" t="n">
        <f aca="false">-Assumptions!$C$102</f>
        <v>-0</v>
      </c>
      <c r="F11" s="14" t="n">
        <f aca="false">-Assumptions!$C$102</f>
        <v>-0</v>
      </c>
      <c r="G11" s="14" t="n">
        <f aca="false">-Assumptions!$C$102</f>
        <v>-0</v>
      </c>
      <c r="H11" s="14" t="n">
        <f aca="false">-Assumptions!$C$102</f>
        <v>-0</v>
      </c>
      <c r="I11" s="14" t="n">
        <f aca="false">-Assumptions!$C$102</f>
        <v>-0</v>
      </c>
      <c r="J11" s="14" t="n">
        <f aca="false">-Assumptions!$C$102</f>
        <v>-0</v>
      </c>
      <c r="K11" s="14" t="n">
        <f aca="false">-Assumptions!$C$102</f>
        <v>-0</v>
      </c>
      <c r="L11" s="14" t="n">
        <f aca="false">-Assumptions!$C$102</f>
        <v>-0</v>
      </c>
      <c r="M11" s="14" t="n">
        <f aca="false">-Assumptions!$C$102</f>
        <v>-0</v>
      </c>
      <c r="N11" s="14" t="n">
        <f aca="false">-Assumptions!$C$102</f>
        <v>-0</v>
      </c>
      <c r="O11" s="14" t="n">
        <f aca="false">-Assumptions!$C$102</f>
        <v>-0</v>
      </c>
      <c r="P11" s="14" t="n">
        <f aca="false">-Assumptions!$C$102</f>
        <v>-0</v>
      </c>
      <c r="Q11" s="14" t="n">
        <f aca="false">-Assumptions!$C$102</f>
        <v>-0</v>
      </c>
      <c r="R11" s="14" t="n">
        <f aca="false">-Assumptions!$C$102</f>
        <v>-0</v>
      </c>
      <c r="S11" s="14" t="n">
        <f aca="false">-Assumptions!$C$102</f>
        <v>-0</v>
      </c>
      <c r="T11" s="14" t="n">
        <f aca="false">-Assumptions!$C$102</f>
        <v>-0</v>
      </c>
      <c r="U11" s="14" t="n">
        <f aca="false">-Assumptions!$C$102</f>
        <v>-0</v>
      </c>
      <c r="V11" s="14" t="n">
        <f aca="false">-Assumptions!$C$102</f>
        <v>-0</v>
      </c>
      <c r="W11" s="14" t="n">
        <f aca="false">-Assumptions!$C$102</f>
        <v>-0</v>
      </c>
      <c r="X11" s="14" t="n">
        <f aca="false">-Assumptions!$C$102</f>
        <v>-0</v>
      </c>
      <c r="Y11" s="14" t="n">
        <f aca="false">-Assumptions!$C$102</f>
        <v>-0</v>
      </c>
      <c r="Z11" s="14" t="n">
        <f aca="false">-Assumptions!$C$102</f>
        <v>-0</v>
      </c>
      <c r="AA11" s="14" t="n">
        <f aca="false">-Assumptions!$C$102</f>
        <v>-0</v>
      </c>
      <c r="AB11" s="14" t="n">
        <f aca="false">-Assumptions!$C$102</f>
        <v>-0</v>
      </c>
      <c r="AC11" s="14" t="n">
        <f aca="false">-Assumptions!$C$102</f>
        <v>-0</v>
      </c>
      <c r="AD11" s="14" t="n">
        <f aca="false">-Assumptions!$C$102</f>
        <v>-0</v>
      </c>
      <c r="AE11" s="14" t="n">
        <f aca="false">-Assumptions!$C$102</f>
        <v>-0</v>
      </c>
      <c r="AF11" s="14" t="n">
        <f aca="false">-Assumptions!$C$102</f>
        <v>-0</v>
      </c>
      <c r="AG11" s="14" t="n">
        <f aca="false">-Assumptions!$C$102</f>
        <v>-0</v>
      </c>
      <c r="AH11" s="14" t="n">
        <f aca="false">-Assumptions!$C$102</f>
        <v>-0</v>
      </c>
      <c r="AI11" s="14" t="n">
        <f aca="false">-Assumptions!$C$102</f>
        <v>-0</v>
      </c>
      <c r="AJ11" s="14" t="n">
        <f aca="false">-Assumptions!$C$102</f>
        <v>-0</v>
      </c>
      <c r="AK11" s="14" t="n">
        <f aca="false">-Assumptions!$C$102</f>
        <v>-0</v>
      </c>
      <c r="AL11" s="14" t="n">
        <f aca="false">-Assumptions!$C$102</f>
        <v>-0</v>
      </c>
      <c r="AM11" s="14" t="n">
        <f aca="false">-Assumptions!$C$102</f>
        <v>-0</v>
      </c>
      <c r="AN11" s="14" t="n">
        <f aca="false">-Assumptions!$C$102</f>
        <v>-0</v>
      </c>
      <c r="AO11" s="14" t="n">
        <f aca="false">-Assumptions!$C$102</f>
        <v>-0</v>
      </c>
      <c r="AP11" s="14" t="n">
        <f aca="false">-Assumptions!$C$102</f>
        <v>-0</v>
      </c>
      <c r="AQ11" s="14" t="n">
        <f aca="false">-Assumptions!$C$102</f>
        <v>-0</v>
      </c>
      <c r="AR11" s="14" t="n">
        <f aca="false">-Assumptions!$C$102</f>
        <v>-0</v>
      </c>
      <c r="AS11" s="14" t="n">
        <f aca="false">-Assumptions!$C$102</f>
        <v>-0</v>
      </c>
      <c r="AT11" s="14" t="n">
        <f aca="false">-Assumptions!$C$102</f>
        <v>-0</v>
      </c>
      <c r="AU11" s="14" t="n">
        <f aca="false">-Assumptions!$C$102</f>
        <v>-0</v>
      </c>
      <c r="AV11" s="14" t="n">
        <f aca="false">-Assumptions!$C$102</f>
        <v>-0</v>
      </c>
      <c r="AW11" s="14" t="n">
        <f aca="false">-Assumptions!$C$102</f>
        <v>-0</v>
      </c>
      <c r="AX11" s="14" t="n">
        <f aca="false">-Assumptions!$C$102</f>
        <v>-0</v>
      </c>
      <c r="AY11" s="14" t="n">
        <f aca="false">-Assumptions!$C$102</f>
        <v>-0</v>
      </c>
      <c r="AZ11" s="14" t="n">
        <f aca="false">-Assumptions!$C$102</f>
        <v>-0</v>
      </c>
      <c r="BA11" s="14" t="n">
        <f aca="false">-Assumptions!$C$102</f>
        <v>-0</v>
      </c>
      <c r="BB11" s="14" t="n">
        <f aca="false">-Assumptions!$C$102</f>
        <v>-0</v>
      </c>
      <c r="BC11" s="14" t="n">
        <f aca="false">-Assumptions!$C$102</f>
        <v>-0</v>
      </c>
      <c r="BD11" s="14" t="n">
        <f aca="false">-Assumptions!$C$102</f>
        <v>-0</v>
      </c>
      <c r="BE11" s="14" t="n">
        <f aca="false">-Assumptions!$C$102</f>
        <v>-0</v>
      </c>
      <c r="BF11" s="14" t="n">
        <f aca="false">-Assumptions!$C$102</f>
        <v>-0</v>
      </c>
      <c r="BG11" s="14" t="n">
        <f aca="false">-Assumptions!$C$102</f>
        <v>-0</v>
      </c>
      <c r="BH11" s="14" t="n">
        <f aca="false">-Assumptions!$C$102</f>
        <v>-0</v>
      </c>
      <c r="BI11" s="14" t="n">
        <f aca="false">-Assumptions!$C$102</f>
        <v>-0</v>
      </c>
      <c r="BJ11" s="14" t="n">
        <f aca="false">-Assumptions!$C$102</f>
        <v>-0</v>
      </c>
      <c r="BK11" s="43" t="n">
        <f aca="false">SUMIF($C$5:$BJ$5,BK$5,$C11:$BJ11)</f>
        <v>0</v>
      </c>
      <c r="BL11" s="43" t="n">
        <f aca="false">SUMIF($C$5:$BJ$5,BL$5,$C11:$BJ11)</f>
        <v>0</v>
      </c>
      <c r="BM11" s="43" t="n">
        <f aca="false">SUMIF($C$5:$BJ$5,BM$5,$C11:$BJ11)</f>
        <v>0</v>
      </c>
      <c r="BN11" s="43" t="n">
        <f aca="false">SUMIF($C$5:$BJ$5,BN$5,$C11:$BJ11)</f>
        <v>0</v>
      </c>
      <c r="BO11" s="43" t="n">
        <f aca="false">SUMIF($C$5:$BJ$5,BO$5,$C11:$BJ11)</f>
        <v>0</v>
      </c>
    </row>
    <row r="12" customFormat="false" ht="15" hidden="false" customHeight="false" outlineLevel="0" collapsed="false">
      <c r="A12" s="39" t="s">
        <v>294</v>
      </c>
      <c r="B12" s="40"/>
      <c r="C12" s="41" t="n">
        <f aca="false">C9+C10+C11</f>
        <v>-7800.29860860424</v>
      </c>
      <c r="D12" s="41" t="n">
        <f aca="false">D9+D10+D11</f>
        <v>-5560.64860860424</v>
      </c>
      <c r="E12" s="41" t="n">
        <f aca="false">E9+E10+E11</f>
        <v>-1579.04860860424</v>
      </c>
      <c r="F12" s="41" t="n">
        <f aca="false">F9+F10+F11</f>
        <v>1904.85139139576</v>
      </c>
      <c r="G12" s="41" t="n">
        <f aca="false">G9+G10+G11</f>
        <v>5637.60139139576</v>
      </c>
      <c r="H12" s="41" t="n">
        <f aca="false">H9+H10+H11</f>
        <v>8374.95139139577</v>
      </c>
      <c r="I12" s="41" t="n">
        <f aca="false">I9+I10+I11</f>
        <v>3853.95139139576</v>
      </c>
      <c r="J12" s="41" t="n">
        <f aca="false">J9+J10+J11</f>
        <v>2609.70139139576</v>
      </c>
      <c r="K12" s="41" t="n">
        <f aca="false">K9+K10+K11</f>
        <v>2609.70139139576</v>
      </c>
      <c r="L12" s="41" t="n">
        <f aca="false">L9+L10+L11</f>
        <v>2609.70139139576</v>
      </c>
      <c r="M12" s="41" t="n">
        <f aca="false">M9+M10+M11</f>
        <v>1365.45139139576</v>
      </c>
      <c r="N12" s="41" t="n">
        <f aca="false">N9+N10+N11</f>
        <v>1365.45139139576</v>
      </c>
      <c r="O12" s="41" t="n">
        <f aca="false">O9+O10+O11</f>
        <v>1651.30789139576</v>
      </c>
      <c r="P12" s="41" t="n">
        <f aca="false">P9+P10+P11</f>
        <v>1651.30789139576</v>
      </c>
      <c r="Q12" s="41" t="n">
        <f aca="false">Q9+Q10+Q11</f>
        <v>4378.17139139576</v>
      </c>
      <c r="R12" s="41" t="n">
        <f aca="false">R9+R10+R11</f>
        <v>5741.60314139576</v>
      </c>
      <c r="S12" s="41" t="n">
        <f aca="false">S9+S10+S11</f>
        <v>7105.03489139576</v>
      </c>
      <c r="T12" s="41" t="n">
        <f aca="false">T9+T10+T11</f>
        <v>7105.03489139576</v>
      </c>
      <c r="U12" s="41" t="n">
        <f aca="false">U9+U10+U11</f>
        <v>5741.60314139576</v>
      </c>
      <c r="V12" s="41" t="n">
        <f aca="false">V9+V10+V11</f>
        <v>4378.17139139576</v>
      </c>
      <c r="W12" s="41" t="n">
        <f aca="false">W9+W10+W11</f>
        <v>4378.17139139576</v>
      </c>
      <c r="X12" s="41" t="n">
        <f aca="false">X9+X10+X11</f>
        <v>4378.17139139576</v>
      </c>
      <c r="Y12" s="41" t="n">
        <f aca="false">Y9+Y10+Y11</f>
        <v>3014.73964139576</v>
      </c>
      <c r="Z12" s="41" t="n">
        <f aca="false">Z9+Z10+Z11</f>
        <v>3014.73964139576</v>
      </c>
      <c r="AA12" s="41" t="n">
        <f aca="false">AA9+AA10+AA11</f>
        <v>-712.63869570424</v>
      </c>
      <c r="AB12" s="41" t="n">
        <f aca="false">AB9+AB10+AB11</f>
        <v>-712.638695704239</v>
      </c>
      <c r="AC12" s="41" t="n">
        <f aca="false">AC9+AC10+AC11</f>
        <v>2276.38512239576</v>
      </c>
      <c r="AD12" s="41" t="n">
        <f aca="false">AD9+AD10+AD11</f>
        <v>3770.89703144576</v>
      </c>
      <c r="AE12" s="41" t="n">
        <f aca="false">AE9+AE10+AE11</f>
        <v>5265.40894049576</v>
      </c>
      <c r="AF12" s="41" t="n">
        <f aca="false">AF9+AF10+AF11</f>
        <v>5265.40894049576</v>
      </c>
      <c r="AG12" s="41" t="n">
        <f aca="false">AG9+AG10+AG11</f>
        <v>3770.89703144576</v>
      </c>
      <c r="AH12" s="41" t="n">
        <f aca="false">AH9+AH10+AH11</f>
        <v>2276.38512239576</v>
      </c>
      <c r="AI12" s="41" t="n">
        <f aca="false">AI9+AI10+AI11</f>
        <v>2276.38512239576</v>
      </c>
      <c r="AJ12" s="41" t="n">
        <f aca="false">AJ9+AJ10+AJ11</f>
        <v>2276.38512239576</v>
      </c>
      <c r="AK12" s="41" t="n">
        <f aca="false">AK9+AK10+AK11</f>
        <v>781.873213345764</v>
      </c>
      <c r="AL12" s="41" t="n">
        <f aca="false">AL9+AL10+AL11</f>
        <v>781.873213345763</v>
      </c>
      <c r="AM12" s="41" t="n">
        <f aca="false">AM9+AM10+AM11</f>
        <v>1107.98785425638</v>
      </c>
      <c r="AN12" s="41" t="n">
        <f aca="false">AN9+AN10+AN11</f>
        <v>1107.98785425638</v>
      </c>
      <c r="AO12" s="41" t="n">
        <f aca="false">AO9+AO10+AO11</f>
        <v>4385.45035940757</v>
      </c>
      <c r="AP12" s="41" t="n">
        <f aca="false">AP9+AP10+AP11</f>
        <v>6024.18161198315</v>
      </c>
      <c r="AQ12" s="41" t="n">
        <f aca="false">AQ9+AQ10+AQ11</f>
        <v>7662.91286455875</v>
      </c>
      <c r="AR12" s="41" t="n">
        <f aca="false">AR9+AR10+AR11</f>
        <v>7662.91286455875</v>
      </c>
      <c r="AS12" s="41" t="n">
        <f aca="false">AS9+AS10+AS11</f>
        <v>6024.18161198315</v>
      </c>
      <c r="AT12" s="41" t="n">
        <f aca="false">AT9+AT10+AT11</f>
        <v>4385.45035940757</v>
      </c>
      <c r="AU12" s="41" t="n">
        <f aca="false">AU9+AU10+AU11</f>
        <v>4385.45035940757</v>
      </c>
      <c r="AV12" s="41" t="n">
        <f aca="false">AV9+AV10+AV11</f>
        <v>4385.45035940757</v>
      </c>
      <c r="AW12" s="41" t="n">
        <f aca="false">AW9+AW10+AW11</f>
        <v>2746.71910683197</v>
      </c>
      <c r="AX12" s="41" t="n">
        <f aca="false">AX9+AX10+AX11</f>
        <v>2746.71910683197</v>
      </c>
      <c r="AY12" s="41" t="n">
        <f aca="false">AY9+AY10+AY11</f>
        <v>3166.62683390958</v>
      </c>
      <c r="AZ12" s="41" t="n">
        <f aca="false">AZ9+AZ10+AZ11</f>
        <v>3166.62683390958</v>
      </c>
      <c r="BA12" s="41" t="n">
        <f aca="false">BA9+BA10+BA11</f>
        <v>6761.55825707835</v>
      </c>
      <c r="BB12" s="41" t="n">
        <f aca="false">BB9+BB10+BB11</f>
        <v>8559.02396866273</v>
      </c>
      <c r="BC12" s="41" t="n">
        <f aca="false">BC9+BC10+BC11</f>
        <v>10356.4896802471</v>
      </c>
      <c r="BD12" s="41" t="n">
        <f aca="false">BD9+BD10+BD11</f>
        <v>10356.4896802471</v>
      </c>
      <c r="BE12" s="41" t="n">
        <f aca="false">BE9+BE10+BE11</f>
        <v>8559.02396866273</v>
      </c>
      <c r="BF12" s="41" t="n">
        <f aca="false">BF9+BF10+BF11</f>
        <v>6761.55825707835</v>
      </c>
      <c r="BG12" s="41" t="n">
        <f aca="false">BG9+BG10+BG11</f>
        <v>6761.55825707835</v>
      </c>
      <c r="BH12" s="41" t="n">
        <f aca="false">BH9+BH10+BH11</f>
        <v>6761.55825707835</v>
      </c>
      <c r="BI12" s="41" t="n">
        <f aca="false">BI9+BI10+BI11</f>
        <v>4964.09254549397</v>
      </c>
      <c r="BJ12" s="41" t="n">
        <f aca="false">BJ9+BJ10+BJ11</f>
        <v>4964.09254549397</v>
      </c>
      <c r="BK12" s="42" t="n">
        <f aca="false">SUMIF($C$5:$BJ$5,BK$5,$C12:$BJ12)</f>
        <v>15391.3666967491</v>
      </c>
      <c r="BL12" s="42" t="n">
        <f aca="false">SUMIF($C$5:$BJ$5,BL$5,$C12:$BJ12)</f>
        <v>52538.0566967491</v>
      </c>
      <c r="BM12" s="42" t="n">
        <f aca="false">SUMIF($C$5:$BJ$5,BM$5,$C12:$BJ12)</f>
        <v>27316.6214687491</v>
      </c>
      <c r="BN12" s="42" t="n">
        <f aca="false">SUMIF($C$5:$BJ$5,BN$5,$C12:$BJ12)</f>
        <v>52625.4043128908</v>
      </c>
      <c r="BO12" s="42" t="n">
        <f aca="false">SUMIF($C$5:$BJ$5,BO$5,$C12:$BJ12)</f>
        <v>81138.6990849402</v>
      </c>
    </row>
    <row r="14" customFormat="false" ht="15" hidden="false" customHeight="false" outlineLevel="0" collapsed="false">
      <c r="A14" s="18" t="s">
        <v>295</v>
      </c>
      <c r="B14" s="2"/>
      <c r="C14" s="14" t="n">
        <f aca="false">'Startup &amp; Funding'!$C$27</f>
        <v>40000</v>
      </c>
      <c r="D14" s="14" t="n">
        <f aca="false">C15</f>
        <v>32199.7013913958</v>
      </c>
      <c r="E14" s="14" t="n">
        <f aca="false">D15</f>
        <v>26639.0527827915</v>
      </c>
      <c r="F14" s="14" t="n">
        <f aca="false">E15</f>
        <v>25060.0041741873</v>
      </c>
      <c r="G14" s="14" t="n">
        <f aca="false">F15</f>
        <v>26964.855565583</v>
      </c>
      <c r="H14" s="14" t="n">
        <f aca="false">G15</f>
        <v>32602.4569569788</v>
      </c>
      <c r="I14" s="14" t="n">
        <f aca="false">H15</f>
        <v>40977.4083483746</v>
      </c>
      <c r="J14" s="14" t="n">
        <f aca="false">I15</f>
        <v>44831.3597397703</v>
      </c>
      <c r="K14" s="14" t="n">
        <f aca="false">J15</f>
        <v>47441.0611311661</v>
      </c>
      <c r="L14" s="14" t="n">
        <f aca="false">K15</f>
        <v>50050.7625225618</v>
      </c>
      <c r="M14" s="14" t="n">
        <f aca="false">L15</f>
        <v>52660.4639139576</v>
      </c>
      <c r="N14" s="14" t="n">
        <f aca="false">M15</f>
        <v>54025.9153053533</v>
      </c>
      <c r="O14" s="14" t="n">
        <f aca="false">N15</f>
        <v>55391.3666967491</v>
      </c>
      <c r="P14" s="14" t="n">
        <f aca="false">O15</f>
        <v>57042.6745881449</v>
      </c>
      <c r="Q14" s="14" t="n">
        <f aca="false">P15</f>
        <v>58693.9824795406</v>
      </c>
      <c r="R14" s="14" t="n">
        <f aca="false">Q15</f>
        <v>63072.1538709364</v>
      </c>
      <c r="S14" s="14" t="n">
        <f aca="false">R15</f>
        <v>68813.7570123322</v>
      </c>
      <c r="T14" s="14" t="n">
        <f aca="false">S15</f>
        <v>75918.7919037279</v>
      </c>
      <c r="U14" s="14" t="n">
        <f aca="false">T15</f>
        <v>83023.8267951237</v>
      </c>
      <c r="V14" s="14" t="n">
        <f aca="false">U15</f>
        <v>88765.4299365195</v>
      </c>
      <c r="W14" s="14" t="n">
        <f aca="false">V15</f>
        <v>93143.6013279152</v>
      </c>
      <c r="X14" s="14" t="n">
        <f aca="false">W15</f>
        <v>97521.772719311</v>
      </c>
      <c r="Y14" s="14" t="n">
        <f aca="false">X15</f>
        <v>101899.944110707</v>
      </c>
      <c r="Z14" s="14" t="n">
        <f aca="false">Y15</f>
        <v>104914.683752103</v>
      </c>
      <c r="AA14" s="14" t="n">
        <f aca="false">Z15</f>
        <v>107929.423393498</v>
      </c>
      <c r="AB14" s="14" t="n">
        <f aca="false">AA15</f>
        <v>107216.784697794</v>
      </c>
      <c r="AC14" s="14" t="n">
        <f aca="false">AB15</f>
        <v>106504.14600209</v>
      </c>
      <c r="AD14" s="14" t="n">
        <f aca="false">AC15</f>
        <v>108780.531124486</v>
      </c>
      <c r="AE14" s="14" t="n">
        <f aca="false">AD15</f>
        <v>112551.428155931</v>
      </c>
      <c r="AF14" s="14" t="n">
        <f aca="false">AE15</f>
        <v>117816.837096427</v>
      </c>
      <c r="AG14" s="14" t="n">
        <f aca="false">AF15</f>
        <v>123082.246036923</v>
      </c>
      <c r="AH14" s="14" t="n">
        <f aca="false">AG15</f>
        <v>126853.143068369</v>
      </c>
      <c r="AI14" s="14" t="n">
        <f aca="false">AH15</f>
        <v>129129.528190764</v>
      </c>
      <c r="AJ14" s="14" t="n">
        <f aca="false">AI15</f>
        <v>131405.91331316</v>
      </c>
      <c r="AK14" s="14" t="n">
        <f aca="false">AJ15</f>
        <v>133682.298435556</v>
      </c>
      <c r="AL14" s="14" t="n">
        <f aca="false">AK15</f>
        <v>134464.171648902</v>
      </c>
      <c r="AM14" s="14" t="n">
        <f aca="false">AL15</f>
        <v>135246.044862247</v>
      </c>
      <c r="AN14" s="14" t="n">
        <f aca="false">AM15</f>
        <v>136354.032716504</v>
      </c>
      <c r="AO14" s="14" t="n">
        <f aca="false">AN15</f>
        <v>137462.02057076</v>
      </c>
      <c r="AP14" s="14" t="n">
        <f aca="false">AO15</f>
        <v>141847.470930168</v>
      </c>
      <c r="AQ14" s="14" t="n">
        <f aca="false">AP15</f>
        <v>147871.652542151</v>
      </c>
      <c r="AR14" s="14" t="n">
        <f aca="false">AQ15</f>
        <v>155534.56540671</v>
      </c>
      <c r="AS14" s="14" t="n">
        <f aca="false">AR15</f>
        <v>163197.478271268</v>
      </c>
      <c r="AT14" s="14" t="n">
        <f aca="false">AS15</f>
        <v>169221.659883252</v>
      </c>
      <c r="AU14" s="14" t="n">
        <f aca="false">AT15</f>
        <v>173607.110242659</v>
      </c>
      <c r="AV14" s="14" t="n">
        <f aca="false">AU15</f>
        <v>177992.560602067</v>
      </c>
      <c r="AW14" s="14" t="n">
        <f aca="false">AV15</f>
        <v>182378.010961474</v>
      </c>
      <c r="AX14" s="14" t="n">
        <f aca="false">AW15</f>
        <v>185124.730068306</v>
      </c>
      <c r="AY14" s="14" t="n">
        <f aca="false">AX15</f>
        <v>187871.449175138</v>
      </c>
      <c r="AZ14" s="14" t="n">
        <f aca="false">AY15</f>
        <v>191038.076009048</v>
      </c>
      <c r="BA14" s="14" t="n">
        <f aca="false">AZ15</f>
        <v>194204.702842957</v>
      </c>
      <c r="BB14" s="14" t="n">
        <f aca="false">BA15</f>
        <v>200966.261100036</v>
      </c>
      <c r="BC14" s="14" t="n">
        <f aca="false">BB15</f>
        <v>209525.285068698</v>
      </c>
      <c r="BD14" s="14" t="n">
        <f aca="false">BC15</f>
        <v>219881.774748946</v>
      </c>
      <c r="BE14" s="14" t="n">
        <f aca="false">BD15</f>
        <v>230238.264429193</v>
      </c>
      <c r="BF14" s="14" t="n">
        <f aca="false">BE15</f>
        <v>238797.288397855</v>
      </c>
      <c r="BG14" s="14" t="n">
        <f aca="false">BF15</f>
        <v>245558.846654934</v>
      </c>
      <c r="BH14" s="14" t="n">
        <f aca="false">BG15</f>
        <v>252320.404912012</v>
      </c>
      <c r="BI14" s="14" t="n">
        <f aca="false">BH15</f>
        <v>259081.96316909</v>
      </c>
      <c r="BJ14" s="14" t="n">
        <f aca="false">BI15</f>
        <v>264046.055714584</v>
      </c>
      <c r="BK14" s="43" t="n">
        <f aca="false">INDEX($C14:$BJ14,(BK$5-1)*12+1)</f>
        <v>40000</v>
      </c>
      <c r="BL14" s="43" t="n">
        <f aca="false">INDEX($C14:$BJ14,(BL$5-1)*12+1)</f>
        <v>55391.3666967491</v>
      </c>
      <c r="BM14" s="43" t="n">
        <f aca="false">INDEX($C14:$BJ14,(BM$5-1)*12+1)</f>
        <v>107929.423393498</v>
      </c>
      <c r="BN14" s="43" t="n">
        <f aca="false">INDEX($C14:$BJ14,(BN$5-1)*12+1)</f>
        <v>135246.044862247</v>
      </c>
      <c r="BO14" s="43" t="n">
        <f aca="false">INDEX($C14:$BJ14,(BO$5-1)*12+1)</f>
        <v>187871.449175138</v>
      </c>
    </row>
    <row r="15" customFormat="false" ht="15" hidden="false" customHeight="false" outlineLevel="0" collapsed="false">
      <c r="A15" s="39" t="s">
        <v>296</v>
      </c>
      <c r="B15" s="40"/>
      <c r="C15" s="41" t="n">
        <f aca="false">C14+C12</f>
        <v>32199.7013913958</v>
      </c>
      <c r="D15" s="41" t="n">
        <f aca="false">D14+D12</f>
        <v>26639.0527827915</v>
      </c>
      <c r="E15" s="41" t="n">
        <f aca="false">E14+E12</f>
        <v>25060.0041741873</v>
      </c>
      <c r="F15" s="41" t="n">
        <f aca="false">F14+F12</f>
        <v>26964.855565583</v>
      </c>
      <c r="G15" s="41" t="n">
        <f aca="false">G14+G12</f>
        <v>32602.4569569788</v>
      </c>
      <c r="H15" s="41" t="n">
        <f aca="false">H14+H12</f>
        <v>40977.4083483746</v>
      </c>
      <c r="I15" s="41" t="n">
        <f aca="false">I14+I12</f>
        <v>44831.3597397703</v>
      </c>
      <c r="J15" s="41" t="n">
        <f aca="false">J14+J12</f>
        <v>47441.0611311661</v>
      </c>
      <c r="K15" s="41" t="n">
        <f aca="false">K14+K12</f>
        <v>50050.7625225618</v>
      </c>
      <c r="L15" s="41" t="n">
        <f aca="false">L14+L12</f>
        <v>52660.4639139576</v>
      </c>
      <c r="M15" s="41" t="n">
        <f aca="false">M14+M12</f>
        <v>54025.9153053533</v>
      </c>
      <c r="N15" s="41" t="n">
        <f aca="false">N14+N12</f>
        <v>55391.3666967491</v>
      </c>
      <c r="O15" s="41" t="n">
        <f aca="false">O14+O12</f>
        <v>57042.6745881449</v>
      </c>
      <c r="P15" s="41" t="n">
        <f aca="false">P14+P12</f>
        <v>58693.9824795406</v>
      </c>
      <c r="Q15" s="41" t="n">
        <f aca="false">Q14+Q12</f>
        <v>63072.1538709364</v>
      </c>
      <c r="R15" s="41" t="n">
        <f aca="false">R14+R12</f>
        <v>68813.7570123322</v>
      </c>
      <c r="S15" s="41" t="n">
        <f aca="false">S14+S12</f>
        <v>75918.7919037279</v>
      </c>
      <c r="T15" s="41" t="n">
        <f aca="false">T14+T12</f>
        <v>83023.8267951237</v>
      </c>
      <c r="U15" s="41" t="n">
        <f aca="false">U14+U12</f>
        <v>88765.4299365195</v>
      </c>
      <c r="V15" s="41" t="n">
        <f aca="false">V14+V12</f>
        <v>93143.6013279152</v>
      </c>
      <c r="W15" s="41" t="n">
        <f aca="false">W14+W12</f>
        <v>97521.772719311</v>
      </c>
      <c r="X15" s="41" t="n">
        <f aca="false">X14+X12</f>
        <v>101899.944110707</v>
      </c>
      <c r="Y15" s="41" t="n">
        <f aca="false">Y14+Y12</f>
        <v>104914.683752103</v>
      </c>
      <c r="Z15" s="41" t="n">
        <f aca="false">Z14+Z12</f>
        <v>107929.423393498</v>
      </c>
      <c r="AA15" s="41" t="n">
        <f aca="false">AA14+AA12</f>
        <v>107216.784697794</v>
      </c>
      <c r="AB15" s="41" t="n">
        <f aca="false">AB14+AB12</f>
        <v>106504.14600209</v>
      </c>
      <c r="AC15" s="41" t="n">
        <f aca="false">AC14+AC12</f>
        <v>108780.531124486</v>
      </c>
      <c r="AD15" s="41" t="n">
        <f aca="false">AD14+AD12</f>
        <v>112551.428155931</v>
      </c>
      <c r="AE15" s="41" t="n">
        <f aca="false">AE14+AE12</f>
        <v>117816.837096427</v>
      </c>
      <c r="AF15" s="41" t="n">
        <f aca="false">AF14+AF12</f>
        <v>123082.246036923</v>
      </c>
      <c r="AG15" s="41" t="n">
        <f aca="false">AG14+AG12</f>
        <v>126853.143068369</v>
      </c>
      <c r="AH15" s="41" t="n">
        <f aca="false">AH14+AH12</f>
        <v>129129.528190764</v>
      </c>
      <c r="AI15" s="41" t="n">
        <f aca="false">AI14+AI12</f>
        <v>131405.91331316</v>
      </c>
      <c r="AJ15" s="41" t="n">
        <f aca="false">AJ14+AJ12</f>
        <v>133682.298435556</v>
      </c>
      <c r="AK15" s="41" t="n">
        <f aca="false">AK14+AK12</f>
        <v>134464.171648902</v>
      </c>
      <c r="AL15" s="41" t="n">
        <f aca="false">AL14+AL12</f>
        <v>135246.044862247</v>
      </c>
      <c r="AM15" s="41" t="n">
        <f aca="false">AM14+AM12</f>
        <v>136354.032716504</v>
      </c>
      <c r="AN15" s="41" t="n">
        <f aca="false">AN14+AN12</f>
        <v>137462.02057076</v>
      </c>
      <c r="AO15" s="41" t="n">
        <f aca="false">AO14+AO12</f>
        <v>141847.470930168</v>
      </c>
      <c r="AP15" s="41" t="n">
        <f aca="false">AP14+AP12</f>
        <v>147871.652542151</v>
      </c>
      <c r="AQ15" s="41" t="n">
        <f aca="false">AQ14+AQ12</f>
        <v>155534.56540671</v>
      </c>
      <c r="AR15" s="41" t="n">
        <f aca="false">AR14+AR12</f>
        <v>163197.478271268</v>
      </c>
      <c r="AS15" s="41" t="n">
        <f aca="false">AS14+AS12</f>
        <v>169221.659883252</v>
      </c>
      <c r="AT15" s="41" t="n">
        <f aca="false">AT14+AT12</f>
        <v>173607.110242659</v>
      </c>
      <c r="AU15" s="41" t="n">
        <f aca="false">AU14+AU12</f>
        <v>177992.560602067</v>
      </c>
      <c r="AV15" s="41" t="n">
        <f aca="false">AV14+AV12</f>
        <v>182378.010961474</v>
      </c>
      <c r="AW15" s="41" t="n">
        <f aca="false">AW14+AW12</f>
        <v>185124.730068306</v>
      </c>
      <c r="AX15" s="41" t="n">
        <f aca="false">AX14+AX12</f>
        <v>187871.449175138</v>
      </c>
      <c r="AY15" s="41" t="n">
        <f aca="false">AY14+AY12</f>
        <v>191038.076009048</v>
      </c>
      <c r="AZ15" s="41" t="n">
        <f aca="false">AZ14+AZ12</f>
        <v>194204.702842957</v>
      </c>
      <c r="BA15" s="41" t="n">
        <f aca="false">BA14+BA12</f>
        <v>200966.261100036</v>
      </c>
      <c r="BB15" s="41" t="n">
        <f aca="false">BB14+BB12</f>
        <v>209525.285068698</v>
      </c>
      <c r="BC15" s="41" t="n">
        <f aca="false">BC14+BC12</f>
        <v>219881.774748946</v>
      </c>
      <c r="BD15" s="41" t="n">
        <f aca="false">BD14+BD12</f>
        <v>230238.264429193</v>
      </c>
      <c r="BE15" s="41" t="n">
        <f aca="false">BE14+BE12</f>
        <v>238797.288397855</v>
      </c>
      <c r="BF15" s="41" t="n">
        <f aca="false">BF14+BF12</f>
        <v>245558.846654934</v>
      </c>
      <c r="BG15" s="41" t="n">
        <f aca="false">BG14+BG12</f>
        <v>252320.404912012</v>
      </c>
      <c r="BH15" s="41" t="n">
        <f aca="false">BH14+BH12</f>
        <v>259081.96316909</v>
      </c>
      <c r="BI15" s="41" t="n">
        <f aca="false">BI14+BI12</f>
        <v>264046.055714584</v>
      </c>
      <c r="BJ15" s="41" t="n">
        <f aca="false">BJ14+BJ12</f>
        <v>269010.148260078</v>
      </c>
      <c r="BK15" s="42" t="n">
        <f aca="false">INDEX($C15:$BJ15,BK$5*12)</f>
        <v>55391.3666967491</v>
      </c>
      <c r="BL15" s="42" t="n">
        <f aca="false">INDEX($C15:$BJ15,BL$5*12)</f>
        <v>107929.423393498</v>
      </c>
      <c r="BM15" s="42" t="n">
        <f aca="false">INDEX($C15:$BJ15,BM$5*12)</f>
        <v>135246.044862247</v>
      </c>
      <c r="BN15" s="42" t="n">
        <f aca="false">INDEX($C15:$BJ15,BN$5*12)</f>
        <v>187871.449175138</v>
      </c>
      <c r="BO15" s="42" t="n">
        <f aca="false">INDEX($C15:$BJ15,BO$5*12)</f>
        <v>269010.148260078</v>
      </c>
    </row>
    <row r="16" customFormat="false" ht="15" hidden="false" customHeight="false" outlineLevel="0" collapsed="false">
      <c r="A16" s="18" t="s">
        <v>297</v>
      </c>
      <c r="B16" s="2"/>
      <c r="C16" s="48" t="str">
        <f aca="false">IF(C15&lt;0,"SHORT",IF(C15&lt;Assumptions!$C$74*Assumptions!$C$104,"LOW",""))</f>
        <v/>
      </c>
      <c r="D16" s="48" t="str">
        <f aca="false">IF(D15&lt;0,"SHORT",IF(D15&lt;Assumptions!$C$74*Assumptions!$C$104,"LOW",""))</f>
        <v/>
      </c>
      <c r="E16" s="48" t="str">
        <f aca="false">IF(E15&lt;0,"SHORT",IF(E15&lt;Assumptions!$C$74*Assumptions!$C$104,"LOW",""))</f>
        <v/>
      </c>
      <c r="F16" s="48" t="str">
        <f aca="false">IF(F15&lt;0,"SHORT",IF(F15&lt;Assumptions!$C$74*Assumptions!$C$104,"LOW",""))</f>
        <v/>
      </c>
      <c r="G16" s="48" t="str">
        <f aca="false">IF(G15&lt;0,"SHORT",IF(G15&lt;Assumptions!$C$74*Assumptions!$C$104,"LOW",""))</f>
        <v/>
      </c>
      <c r="H16" s="48" t="str">
        <f aca="false">IF(H15&lt;0,"SHORT",IF(H15&lt;Assumptions!$C$74*Assumptions!$C$104,"LOW",""))</f>
        <v/>
      </c>
      <c r="I16" s="48" t="str">
        <f aca="false">IF(I15&lt;0,"SHORT",IF(I15&lt;Assumptions!$C$74*Assumptions!$C$104,"LOW",""))</f>
        <v/>
      </c>
      <c r="J16" s="48" t="str">
        <f aca="false">IF(J15&lt;0,"SHORT",IF(J15&lt;Assumptions!$C$74*Assumptions!$C$104,"LOW",""))</f>
        <v/>
      </c>
      <c r="K16" s="48" t="str">
        <f aca="false">IF(K15&lt;0,"SHORT",IF(K15&lt;Assumptions!$C$74*Assumptions!$C$104,"LOW",""))</f>
        <v/>
      </c>
      <c r="L16" s="48" t="str">
        <f aca="false">IF(L15&lt;0,"SHORT",IF(L15&lt;Assumptions!$C$74*Assumptions!$C$104,"LOW",""))</f>
        <v/>
      </c>
      <c r="M16" s="48" t="str">
        <f aca="false">IF(M15&lt;0,"SHORT",IF(M15&lt;Assumptions!$C$74*Assumptions!$C$104,"LOW",""))</f>
        <v/>
      </c>
      <c r="N16" s="48" t="str">
        <f aca="false">IF(N15&lt;0,"SHORT",IF(N15&lt;Assumptions!$C$74*Assumptions!$C$104,"LOW",""))</f>
        <v/>
      </c>
      <c r="O16" s="48" t="str">
        <f aca="false">IF(O15&lt;0,"SHORT",IF(O15&lt;Assumptions!$C$74*Assumptions!$C$104,"LOW",""))</f>
        <v/>
      </c>
      <c r="P16" s="48" t="str">
        <f aca="false">IF(P15&lt;0,"SHORT",IF(P15&lt;Assumptions!$C$74*Assumptions!$C$104,"LOW",""))</f>
        <v/>
      </c>
      <c r="Q16" s="48" t="str">
        <f aca="false">IF(Q15&lt;0,"SHORT",IF(Q15&lt;Assumptions!$C$74*Assumptions!$C$104,"LOW",""))</f>
        <v/>
      </c>
      <c r="R16" s="48" t="str">
        <f aca="false">IF(R15&lt;0,"SHORT",IF(R15&lt;Assumptions!$C$74*Assumptions!$C$104,"LOW",""))</f>
        <v/>
      </c>
      <c r="S16" s="48" t="str">
        <f aca="false">IF(S15&lt;0,"SHORT",IF(S15&lt;Assumptions!$C$74*Assumptions!$C$104,"LOW",""))</f>
        <v/>
      </c>
      <c r="T16" s="48" t="str">
        <f aca="false">IF(T15&lt;0,"SHORT",IF(T15&lt;Assumptions!$C$74*Assumptions!$C$104,"LOW",""))</f>
        <v/>
      </c>
      <c r="U16" s="48" t="str">
        <f aca="false">IF(U15&lt;0,"SHORT",IF(U15&lt;Assumptions!$C$74*Assumptions!$C$104,"LOW",""))</f>
        <v/>
      </c>
      <c r="V16" s="48" t="str">
        <f aca="false">IF(V15&lt;0,"SHORT",IF(V15&lt;Assumptions!$C$74*Assumptions!$C$104,"LOW",""))</f>
        <v/>
      </c>
      <c r="W16" s="48" t="str">
        <f aca="false">IF(W15&lt;0,"SHORT",IF(W15&lt;Assumptions!$C$74*Assumptions!$C$104,"LOW",""))</f>
        <v/>
      </c>
      <c r="X16" s="48" t="str">
        <f aca="false">IF(X15&lt;0,"SHORT",IF(X15&lt;Assumptions!$C$74*Assumptions!$C$104,"LOW",""))</f>
        <v/>
      </c>
      <c r="Y16" s="48" t="str">
        <f aca="false">IF(Y15&lt;0,"SHORT",IF(Y15&lt;Assumptions!$C$74*Assumptions!$C$104,"LOW",""))</f>
        <v/>
      </c>
      <c r="Z16" s="48" t="str">
        <f aca="false">IF(Z15&lt;0,"SHORT",IF(Z15&lt;Assumptions!$C$74*Assumptions!$C$104,"LOW",""))</f>
        <v/>
      </c>
      <c r="AA16" s="48" t="str">
        <f aca="false">IF(AA15&lt;0,"SHORT",IF(AA15&lt;Assumptions!$C$74*Assumptions!$C$104,"LOW",""))</f>
        <v/>
      </c>
      <c r="AB16" s="48" t="str">
        <f aca="false">IF(AB15&lt;0,"SHORT",IF(AB15&lt;Assumptions!$C$74*Assumptions!$C$104,"LOW",""))</f>
        <v/>
      </c>
      <c r="AC16" s="48" t="str">
        <f aca="false">IF(AC15&lt;0,"SHORT",IF(AC15&lt;Assumptions!$C$74*Assumptions!$C$104,"LOW",""))</f>
        <v/>
      </c>
      <c r="AD16" s="48" t="str">
        <f aca="false">IF(AD15&lt;0,"SHORT",IF(AD15&lt;Assumptions!$C$74*Assumptions!$C$104,"LOW",""))</f>
        <v/>
      </c>
      <c r="AE16" s="48" t="str">
        <f aca="false">IF(AE15&lt;0,"SHORT",IF(AE15&lt;Assumptions!$C$74*Assumptions!$C$104,"LOW",""))</f>
        <v/>
      </c>
      <c r="AF16" s="48" t="str">
        <f aca="false">IF(AF15&lt;0,"SHORT",IF(AF15&lt;Assumptions!$C$74*Assumptions!$C$104,"LOW",""))</f>
        <v/>
      </c>
      <c r="AG16" s="48" t="str">
        <f aca="false">IF(AG15&lt;0,"SHORT",IF(AG15&lt;Assumptions!$C$74*Assumptions!$C$104,"LOW",""))</f>
        <v/>
      </c>
      <c r="AH16" s="48" t="str">
        <f aca="false">IF(AH15&lt;0,"SHORT",IF(AH15&lt;Assumptions!$C$74*Assumptions!$C$104,"LOW",""))</f>
        <v/>
      </c>
      <c r="AI16" s="48" t="str">
        <f aca="false">IF(AI15&lt;0,"SHORT",IF(AI15&lt;Assumptions!$C$74*Assumptions!$C$104,"LOW",""))</f>
        <v/>
      </c>
      <c r="AJ16" s="48" t="str">
        <f aca="false">IF(AJ15&lt;0,"SHORT",IF(AJ15&lt;Assumptions!$C$74*Assumptions!$C$104,"LOW",""))</f>
        <v/>
      </c>
      <c r="AK16" s="48" t="str">
        <f aca="false">IF(AK15&lt;0,"SHORT",IF(AK15&lt;Assumptions!$C$74*Assumptions!$C$104,"LOW",""))</f>
        <v/>
      </c>
      <c r="AL16" s="48" t="str">
        <f aca="false">IF(AL15&lt;0,"SHORT",IF(AL15&lt;Assumptions!$C$74*Assumptions!$C$104,"LOW",""))</f>
        <v/>
      </c>
      <c r="AM16" s="48" t="str">
        <f aca="false">IF(AM15&lt;0,"SHORT",IF(AM15&lt;Assumptions!$C$74*Assumptions!$C$104,"LOW",""))</f>
        <v/>
      </c>
      <c r="AN16" s="48" t="str">
        <f aca="false">IF(AN15&lt;0,"SHORT",IF(AN15&lt;Assumptions!$C$74*Assumptions!$C$104,"LOW",""))</f>
        <v/>
      </c>
      <c r="AO16" s="48" t="str">
        <f aca="false">IF(AO15&lt;0,"SHORT",IF(AO15&lt;Assumptions!$C$74*Assumptions!$C$104,"LOW",""))</f>
        <v/>
      </c>
      <c r="AP16" s="48" t="str">
        <f aca="false">IF(AP15&lt;0,"SHORT",IF(AP15&lt;Assumptions!$C$74*Assumptions!$C$104,"LOW",""))</f>
        <v/>
      </c>
      <c r="AQ16" s="48" t="str">
        <f aca="false">IF(AQ15&lt;0,"SHORT",IF(AQ15&lt;Assumptions!$C$74*Assumptions!$C$104,"LOW",""))</f>
        <v/>
      </c>
      <c r="AR16" s="48" t="str">
        <f aca="false">IF(AR15&lt;0,"SHORT",IF(AR15&lt;Assumptions!$C$74*Assumptions!$C$104,"LOW",""))</f>
        <v/>
      </c>
      <c r="AS16" s="48" t="str">
        <f aca="false">IF(AS15&lt;0,"SHORT",IF(AS15&lt;Assumptions!$C$74*Assumptions!$C$104,"LOW",""))</f>
        <v/>
      </c>
      <c r="AT16" s="48" t="str">
        <f aca="false">IF(AT15&lt;0,"SHORT",IF(AT15&lt;Assumptions!$C$74*Assumptions!$C$104,"LOW",""))</f>
        <v/>
      </c>
      <c r="AU16" s="48" t="str">
        <f aca="false">IF(AU15&lt;0,"SHORT",IF(AU15&lt;Assumptions!$C$74*Assumptions!$C$104,"LOW",""))</f>
        <v/>
      </c>
      <c r="AV16" s="48" t="str">
        <f aca="false">IF(AV15&lt;0,"SHORT",IF(AV15&lt;Assumptions!$C$74*Assumptions!$C$104,"LOW",""))</f>
        <v/>
      </c>
      <c r="AW16" s="48" t="str">
        <f aca="false">IF(AW15&lt;0,"SHORT",IF(AW15&lt;Assumptions!$C$74*Assumptions!$C$104,"LOW",""))</f>
        <v/>
      </c>
      <c r="AX16" s="48" t="str">
        <f aca="false">IF(AX15&lt;0,"SHORT",IF(AX15&lt;Assumptions!$C$74*Assumptions!$C$104,"LOW",""))</f>
        <v/>
      </c>
      <c r="AY16" s="48" t="str">
        <f aca="false">IF(AY15&lt;0,"SHORT",IF(AY15&lt;Assumptions!$C$74*Assumptions!$C$104,"LOW",""))</f>
        <v/>
      </c>
      <c r="AZ16" s="48" t="str">
        <f aca="false">IF(AZ15&lt;0,"SHORT",IF(AZ15&lt;Assumptions!$C$74*Assumptions!$C$104,"LOW",""))</f>
        <v/>
      </c>
      <c r="BA16" s="48" t="str">
        <f aca="false">IF(BA15&lt;0,"SHORT",IF(BA15&lt;Assumptions!$C$74*Assumptions!$C$104,"LOW",""))</f>
        <v/>
      </c>
      <c r="BB16" s="48" t="str">
        <f aca="false">IF(BB15&lt;0,"SHORT",IF(BB15&lt;Assumptions!$C$74*Assumptions!$C$104,"LOW",""))</f>
        <v/>
      </c>
      <c r="BC16" s="48" t="str">
        <f aca="false">IF(BC15&lt;0,"SHORT",IF(BC15&lt;Assumptions!$C$74*Assumptions!$C$104,"LOW",""))</f>
        <v/>
      </c>
      <c r="BD16" s="48" t="str">
        <f aca="false">IF(BD15&lt;0,"SHORT",IF(BD15&lt;Assumptions!$C$74*Assumptions!$C$104,"LOW",""))</f>
        <v/>
      </c>
      <c r="BE16" s="48" t="str">
        <f aca="false">IF(BE15&lt;0,"SHORT",IF(BE15&lt;Assumptions!$C$74*Assumptions!$C$104,"LOW",""))</f>
        <v/>
      </c>
      <c r="BF16" s="48" t="str">
        <f aca="false">IF(BF15&lt;0,"SHORT",IF(BF15&lt;Assumptions!$C$74*Assumptions!$C$104,"LOW",""))</f>
        <v/>
      </c>
      <c r="BG16" s="48" t="str">
        <f aca="false">IF(BG15&lt;0,"SHORT",IF(BG15&lt;Assumptions!$C$74*Assumptions!$C$104,"LOW",""))</f>
        <v/>
      </c>
      <c r="BH16" s="48" t="str">
        <f aca="false">IF(BH15&lt;0,"SHORT",IF(BH15&lt;Assumptions!$C$74*Assumptions!$C$104,"LOW",""))</f>
        <v/>
      </c>
      <c r="BI16" s="48" t="str">
        <f aca="false">IF(BI15&lt;0,"SHORT",IF(BI15&lt;Assumptions!$C$74*Assumptions!$C$104,"LOW",""))</f>
        <v/>
      </c>
      <c r="BJ16" s="48" t="str">
        <f aca="false">IF(BJ15&lt;0,"SHORT",IF(BJ15&lt;Assumptions!$C$74*Assumptions!$C$104,"LOW",""))</f>
        <v/>
      </c>
      <c r="BK16" s="49"/>
      <c r="BL16" s="49"/>
      <c r="BM16" s="49"/>
      <c r="BN16" s="49"/>
      <c r="BO16" s="49"/>
    </row>
    <row r="18" customFormat="false" ht="15" hidden="false" customHeight="false" outlineLevel="0" collapsed="false">
      <c r="A18" s="18" t="s">
        <v>298</v>
      </c>
      <c r="B18" s="2"/>
      <c r="C18" s="44" t="n">
        <f aca="false">INDEX(Loan!$G$14:$G$373,C4)</f>
        <v>109055.201391396</v>
      </c>
      <c r="D18" s="44" t="n">
        <f aca="false">INDEX(Loan!$G$14:$G$373,D4)</f>
        <v>108103.316793227</v>
      </c>
      <c r="E18" s="44" t="n">
        <f aca="false">INDEX(Loan!$G$14:$G$373,E4)</f>
        <v>107144.293060572</v>
      </c>
      <c r="F18" s="44" t="n">
        <f aca="false">INDEX(Loan!$G$14:$G$373,F4)</f>
        <v>106178.076649922</v>
      </c>
      <c r="G18" s="44" t="n">
        <f aca="false">INDEX(Loan!$G$14:$G$373,G4)</f>
        <v>105204.613616192</v>
      </c>
      <c r="H18" s="44" t="n">
        <f aca="false">INDEX(Loan!$G$14:$G$373,H4)</f>
        <v>104223.849609709</v>
      </c>
      <c r="I18" s="44" t="n">
        <f aca="false">INDEX(Loan!$G$14:$G$373,I4)</f>
        <v>103235.729873178</v>
      </c>
      <c r="J18" s="44" t="n">
        <f aca="false">INDEX(Loan!$G$14:$G$373,J4)</f>
        <v>102240.199238623</v>
      </c>
      <c r="K18" s="44" t="n">
        <f aca="false">INDEX(Loan!$G$14:$G$373,K4)</f>
        <v>101237.202124308</v>
      </c>
      <c r="L18" s="44" t="n">
        <f aca="false">INDEX(Loan!$G$14:$G$373,L4)</f>
        <v>100226.682531636</v>
      </c>
      <c r="M18" s="44" t="n">
        <f aca="false">INDEX(Loan!$G$14:$G$373,M4)</f>
        <v>99208.5840420191</v>
      </c>
      <c r="N18" s="44" t="n">
        <f aca="false">INDEX(Loan!$G$14:$G$373,N4)</f>
        <v>98182.84981373</v>
      </c>
      <c r="O18" s="44" t="n">
        <f aca="false">INDEX(Loan!$G$14:$G$373,O4)</f>
        <v>97149.4225787287</v>
      </c>
      <c r="P18" s="44" t="n">
        <f aca="false">INDEX(Loan!$G$14:$G$373,P4)</f>
        <v>96108.2446394649</v>
      </c>
      <c r="Q18" s="44" t="n">
        <f aca="false">INDEX(Loan!$G$14:$G$373,Q4)</f>
        <v>95059.2578656567</v>
      </c>
      <c r="R18" s="44" t="n">
        <f aca="false">INDEX(Loan!$G$14:$G$373,R4)</f>
        <v>94002.4036910449</v>
      </c>
      <c r="S18" s="44" t="n">
        <f aca="false">INDEX(Loan!$G$14:$G$373,S4)</f>
        <v>92937.6231101235</v>
      </c>
      <c r="T18" s="44" t="n">
        <f aca="false">INDEX(Loan!$G$14:$G$373,T4)</f>
        <v>91864.8566748451</v>
      </c>
      <c r="U18" s="44" t="n">
        <f aca="false">INDEX(Loan!$G$14:$G$373,U4)</f>
        <v>90784.0444913022</v>
      </c>
      <c r="V18" s="44" t="n">
        <f aca="false">INDEX(Loan!$G$14:$G$373,V4)</f>
        <v>89695.1262163828</v>
      </c>
      <c r="W18" s="44" t="n">
        <f aca="false">INDEX(Loan!$G$14:$G$373,W4)</f>
        <v>88598.0410544014</v>
      </c>
      <c r="X18" s="44" t="n">
        <f aca="false">INDEX(Loan!$G$14:$G$373,X4)</f>
        <v>87492.7277537052</v>
      </c>
      <c r="Y18" s="44" t="n">
        <f aca="false">INDEX(Loan!$G$14:$G$373,Y4)</f>
        <v>86379.1246032537</v>
      </c>
      <c r="Z18" s="44" t="n">
        <f aca="false">INDEX(Loan!$G$14:$G$373,Z4)</f>
        <v>85257.1694291739</v>
      </c>
      <c r="AA18" s="44" t="n">
        <f aca="false">INDEX(Loan!$G$14:$G$373,AA4)</f>
        <v>84126.7995912884</v>
      </c>
      <c r="AB18" s="44" t="n">
        <f aca="false">INDEX(Loan!$G$14:$G$373,AB4)</f>
        <v>82987.9519796189</v>
      </c>
      <c r="AC18" s="44" t="n">
        <f aca="false">INDEX(Loan!$G$14:$G$373,AC4)</f>
        <v>81840.5630108618</v>
      </c>
      <c r="AD18" s="44" t="n">
        <f aca="false">INDEX(Loan!$G$14:$G$373,AD4)</f>
        <v>80684.568624839</v>
      </c>
      <c r="AE18" s="44" t="n">
        <f aca="false">INDEX(Loan!$G$14:$G$373,AE4)</f>
        <v>79519.904280921</v>
      </c>
      <c r="AF18" s="44" t="n">
        <f aca="false">INDEX(Loan!$G$14:$G$373,AF4)</f>
        <v>78346.5049544237</v>
      </c>
      <c r="AG18" s="44" t="n">
        <f aca="false">INDEX(Loan!$G$14:$G$373,AG4)</f>
        <v>77164.3051329776</v>
      </c>
      <c r="AH18" s="44" t="n">
        <f aca="false">INDEX(Loan!$G$14:$G$373,AH4)</f>
        <v>75973.2388128707</v>
      </c>
      <c r="AI18" s="44" t="n">
        <f aca="false">INDEX(Loan!$G$14:$G$373,AI4)</f>
        <v>74773.239495363</v>
      </c>
      <c r="AJ18" s="44" t="n">
        <f aca="false">INDEX(Loan!$G$14:$G$373,AJ4)</f>
        <v>73564.240182974</v>
      </c>
      <c r="AK18" s="44" t="n">
        <f aca="false">INDEX(Loan!$G$14:$G$373,AK4)</f>
        <v>72346.173375742</v>
      </c>
      <c r="AL18" s="44" t="n">
        <f aca="false">INDEX(Loan!$G$14:$G$373,AL4)</f>
        <v>71118.9710674559</v>
      </c>
      <c r="AM18" s="44" t="n">
        <f aca="false">INDEX(Loan!$G$14:$G$373,AM4)</f>
        <v>69882.5647418576</v>
      </c>
      <c r="AN18" s="44" t="n">
        <f aca="false">INDEX(Loan!$G$14:$G$373,AN4)</f>
        <v>68636.8853688172</v>
      </c>
      <c r="AO18" s="44" t="n">
        <f aca="false">INDEX(Loan!$G$14:$G$373,AO4)</f>
        <v>67381.8634004791</v>
      </c>
      <c r="AP18" s="44" t="n">
        <f aca="false">INDEX(Loan!$G$14:$G$373,AP4)</f>
        <v>66117.4287673785</v>
      </c>
      <c r="AQ18" s="44" t="n">
        <f aca="false">INDEX(Loan!$G$14:$G$373,AQ4)</f>
        <v>64843.5108745296</v>
      </c>
      <c r="AR18" s="44" t="n">
        <f aca="false">INDEX(Loan!$G$14:$G$373,AR4)</f>
        <v>63560.0385974843</v>
      </c>
      <c r="AS18" s="44" t="n">
        <f aca="false">INDEX(Loan!$G$14:$G$373,AS4)</f>
        <v>62266.9402783612</v>
      </c>
      <c r="AT18" s="44" t="n">
        <f aca="false">INDEX(Loan!$G$14:$G$373,AT4)</f>
        <v>60964.1437218447</v>
      </c>
      <c r="AU18" s="44" t="n">
        <f aca="false">INDEX(Loan!$G$14:$G$373,AU4)</f>
        <v>59651.5761911543</v>
      </c>
      <c r="AV18" s="44" t="n">
        <f aca="false">INDEX(Loan!$G$14:$G$373,AV4)</f>
        <v>58329.1644039837</v>
      </c>
      <c r="AW18" s="44" t="n">
        <f aca="false">INDEX(Loan!$G$14:$G$373,AW4)</f>
        <v>56996.8345284093</v>
      </c>
      <c r="AX18" s="44" t="n">
        <f aca="false">INDEX(Loan!$G$14:$G$373,AX4)</f>
        <v>55654.5121787681</v>
      </c>
      <c r="AY18" s="44" t="n">
        <f aca="false">INDEX(Loan!$G$14:$G$373,AY4)</f>
        <v>54302.1224115047</v>
      </c>
      <c r="AZ18" s="44" t="n">
        <f aca="false">INDEX(Loan!$G$14:$G$373,AZ4)</f>
        <v>52939.5897209867</v>
      </c>
      <c r="BA18" s="44" t="n">
        <f aca="false">INDEX(Loan!$G$14:$G$373,BA4)</f>
        <v>51566.8380352899</v>
      </c>
      <c r="BB18" s="44" t="n">
        <f aca="false">INDEX(Loan!$G$14:$G$373,BB4)</f>
        <v>50183.7907119503</v>
      </c>
      <c r="BC18" s="44" t="n">
        <f aca="false">INDEX(Loan!$G$14:$G$373,BC4)</f>
        <v>48790.3705336857</v>
      </c>
      <c r="BD18" s="44" t="n">
        <f aca="false">INDEX(Loan!$G$14:$G$373,BD4)</f>
        <v>47386.4997040841</v>
      </c>
      <c r="BE18" s="44" t="n">
        <f aca="false">INDEX(Loan!$G$14:$G$373,BE4)</f>
        <v>45972.0998432605</v>
      </c>
      <c r="BF18" s="44" t="n">
        <f aca="false">INDEX(Loan!$G$14:$G$373,BF4)</f>
        <v>44547.0919834807</v>
      </c>
      <c r="BG18" s="44" t="n">
        <f aca="false">INDEX(Loan!$G$14:$G$373,BG4)</f>
        <v>43111.3965647526</v>
      </c>
      <c r="BH18" s="44" t="n">
        <f aca="false">INDEX(Loan!$G$14:$G$373,BH4)</f>
        <v>41664.933430384</v>
      </c>
      <c r="BI18" s="44" t="n">
        <f aca="false">INDEX(Loan!$G$14:$G$373,BI4)</f>
        <v>40207.6218225076</v>
      </c>
      <c r="BJ18" s="44" t="n">
        <f aca="false">INDEX(Loan!$G$14:$G$373,BJ4)</f>
        <v>38739.3803775722</v>
      </c>
      <c r="BK18" s="43" t="n">
        <f aca="false">INDEX($C18:$BJ18,BK$5*12)</f>
        <v>98182.84981373</v>
      </c>
      <c r="BL18" s="43" t="n">
        <f aca="false">INDEX($C18:$BJ18,BL$5*12)</f>
        <v>85257.1694291739</v>
      </c>
      <c r="BM18" s="43" t="n">
        <f aca="false">INDEX($C18:$BJ18,BM$5*12)</f>
        <v>71118.9710674559</v>
      </c>
      <c r="BN18" s="43" t="n">
        <f aca="false">INDEX($C18:$BJ18,BN$5*12)</f>
        <v>55654.5121787681</v>
      </c>
      <c r="BO18" s="43" t="n">
        <f aca="false">INDEX($C18:$BJ18,BO$5*12)</f>
        <v>38739.3803775722</v>
      </c>
    </row>
  </sheetData>
  <printOptions headings="false" gridLines="false" gridLinesSet="true" horizontalCentered="false" verticalCentered="false"/>
  <pageMargins left="0.75" right="0.75" top="1" bottom="1" header="0.511811023622047" footer="0.511811023622047"/>
  <pageSetup paperSize="1" scale="100" fitToWidth="6" fitToHeight="1"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62"/>
    <col collapsed="false" customWidth="true" hidden="false" outlineLevel="0" max="4" min="3" style="0" width="16"/>
    <col collapsed="false" customWidth="true" hidden="false" outlineLevel="0" max="5" min="5" style="0" width="70"/>
  </cols>
  <sheetData>
    <row r="1" customFormat="false" ht="17.35" hidden="false" customHeight="false" outlineLevel="0" collapsed="false">
      <c r="B1" s="1" t="s">
        <v>299</v>
      </c>
    </row>
    <row r="2" customFormat="false" ht="15" hidden="false" customHeight="false" outlineLevel="0" collapsed="false">
      <c r="B2" s="2" t="s">
        <v>300</v>
      </c>
    </row>
    <row r="4" customFormat="false" ht="15" hidden="false" customHeight="false" outlineLevel="0" collapsed="false">
      <c r="B4" s="5" t="s">
        <v>301</v>
      </c>
      <c r="C4" s="6"/>
      <c r="D4" s="6"/>
      <c r="E4" s="6"/>
    </row>
    <row r="5" customFormat="false" ht="15" hidden="false" customHeight="false" outlineLevel="0" collapsed="false">
      <c r="B5" s="18" t="s">
        <v>302</v>
      </c>
      <c r="C5" s="24" t="n">
        <f aca="false">IF('P&amp;L'!$BK$7=0,0,'P&amp;L'!$BK$8/'P&amp;L'!$BK$7)</f>
        <v>0.301923076923077</v>
      </c>
      <c r="E5" s="2" t="s">
        <v>303</v>
      </c>
    </row>
    <row r="6" customFormat="false" ht="15" hidden="false" customHeight="false" outlineLevel="0" collapsed="false">
      <c r="B6" s="18" t="s">
        <v>304</v>
      </c>
      <c r="C6" s="24" t="n">
        <f aca="false">Assumptions!$C$107</f>
        <v>0.06</v>
      </c>
      <c r="E6" s="2" t="s">
        <v>208</v>
      </c>
    </row>
    <row r="7" customFormat="false" ht="15" hidden="false" customHeight="false" outlineLevel="0" collapsed="false">
      <c r="B7" s="13" t="s">
        <v>305</v>
      </c>
      <c r="C7" s="50" t="n">
        <f aca="false">1-$C$5-$C$6</f>
        <v>0.638076923076923</v>
      </c>
      <c r="E7" s="2"/>
    </row>
    <row r="9" customFormat="false" ht="15" hidden="false" customHeight="false" outlineLevel="0" collapsed="false">
      <c r="B9" s="5" t="s">
        <v>306</v>
      </c>
      <c r="C9" s="6"/>
      <c r="D9" s="6"/>
      <c r="E9" s="6"/>
    </row>
    <row r="10" customFormat="false" ht="15" hidden="false" customHeight="false" outlineLevel="0" collapsed="false">
      <c r="B10" s="18" t="s">
        <v>307</v>
      </c>
      <c r="C10" s="14" t="n">
        <f aca="false">'P&amp;L'!$BK$10/12</f>
        <v>14167.125</v>
      </c>
      <c r="E10" s="2" t="s">
        <v>308</v>
      </c>
    </row>
    <row r="11" customFormat="false" ht="15" hidden="false" customHeight="false" outlineLevel="0" collapsed="false">
      <c r="B11" s="18" t="s">
        <v>251</v>
      </c>
      <c r="C11" s="14" t="n">
        <f aca="false">OpEx!$BK$20/12</f>
        <v>4700</v>
      </c>
      <c r="E11" s="2" t="s">
        <v>309</v>
      </c>
    </row>
    <row r="12" customFormat="false" ht="15" hidden="false" customHeight="false" outlineLevel="0" collapsed="false">
      <c r="B12" s="13" t="s">
        <v>310</v>
      </c>
      <c r="C12" s="51" t="n">
        <f aca="false">$C$10+$C$11</f>
        <v>18867.125</v>
      </c>
      <c r="E12" s="2"/>
    </row>
    <row r="13" customFormat="false" ht="15" hidden="false" customHeight="false" outlineLevel="0" collapsed="false">
      <c r="B13" s="18" t="s">
        <v>277</v>
      </c>
      <c r="C13" s="14" t="n">
        <f aca="false">'P&amp;L'!$BK$13/12</f>
        <v>1327.38095238095</v>
      </c>
      <c r="E13" s="2" t="s">
        <v>311</v>
      </c>
    </row>
    <row r="14" customFormat="false" ht="15" hidden="false" customHeight="false" outlineLevel="0" collapsed="false">
      <c r="B14" s="18" t="s">
        <v>278</v>
      </c>
      <c r="C14" s="14" t="n">
        <f aca="false">'P&amp;L'!$BK$14/12</f>
        <v>785.036093081739</v>
      </c>
      <c r="E14" s="2" t="s">
        <v>312</v>
      </c>
    </row>
    <row r="15" customFormat="false" ht="15" hidden="false" customHeight="false" outlineLevel="0" collapsed="false">
      <c r="B15" s="18" t="s">
        <v>313</v>
      </c>
      <c r="C15" s="14" t="n">
        <f aca="false">Loan!$G$4/12</f>
        <v>1769.79860860424</v>
      </c>
      <c r="E15" s="2" t="s">
        <v>314</v>
      </c>
    </row>
    <row r="16" customFormat="false" ht="15" hidden="false" customHeight="false" outlineLevel="0" collapsed="false">
      <c r="B16" s="18" t="s">
        <v>293</v>
      </c>
      <c r="C16" s="14" t="n">
        <f aca="false">Assumptions!$C$102</f>
        <v>0</v>
      </c>
      <c r="E16" s="2" t="s">
        <v>315</v>
      </c>
    </row>
    <row r="18" customFormat="false" ht="15" hidden="false" customHeight="false" outlineLevel="0" collapsed="false">
      <c r="B18" s="5" t="s">
        <v>316</v>
      </c>
      <c r="C18" s="6"/>
      <c r="D18" s="6"/>
      <c r="E18" s="6"/>
    </row>
    <row r="19" customFormat="false" ht="15" hidden="false" customHeight="false" outlineLevel="0" collapsed="false">
      <c r="C19" s="13" t="s">
        <v>317</v>
      </c>
      <c r="D19" s="13" t="s">
        <v>318</v>
      </c>
      <c r="E19" s="2" t="s">
        <v>319</v>
      </c>
    </row>
    <row r="20" customFormat="false" ht="15" hidden="false" customHeight="false" outlineLevel="0" collapsed="false">
      <c r="B20" s="13" t="s">
        <v>320</v>
      </c>
      <c r="C20" s="51" t="n">
        <f aca="false">IF($C$7&lt;=0,0,($C$12+$C$13+$C$14)/$C$7)</f>
        <v>32879.3305112737</v>
      </c>
      <c r="D20" s="51" t="n">
        <f aca="false">IF($C$7&lt;=0,0,($C$12+$C$15+$C$16)/$C$7)</f>
        <v>32342.375757909</v>
      </c>
      <c r="E20" s="2" t="s">
        <v>321</v>
      </c>
    </row>
    <row r="21" customFormat="false" ht="15" hidden="false" customHeight="false" outlineLevel="0" collapsed="false">
      <c r="B21" s="13" t="s">
        <v>322</v>
      </c>
      <c r="C21" s="51" t="n">
        <f aca="false">C20*12</f>
        <v>394551.966135284</v>
      </c>
      <c r="D21" s="51" t="n">
        <f aca="false">D20*12</f>
        <v>388108.509094908</v>
      </c>
    </row>
    <row r="22" customFormat="false" ht="15" hidden="false" customHeight="false" outlineLevel="0" collapsed="false">
      <c r="B22" s="13" t="s">
        <v>323</v>
      </c>
      <c r="C22" s="52" t="str">
        <f aca="false">IF($C$7&lt;=0,"NO BREAK-EVEN: direct and variable costs take every sales dollar",IF(C25&lt;=0,"NO SALES IN YEAR 1: the break-even figure uses Year-1 costs only and the direct-cost % is taken as 0. Enter revenue on Assumptions",""))</f>
        <v/>
      </c>
    </row>
    <row r="24" customFormat="false" ht="15" hidden="false" customHeight="false" outlineLevel="0" collapsed="false">
      <c r="B24" s="5" t="s">
        <v>324</v>
      </c>
      <c r="C24" s="6"/>
      <c r="D24" s="6"/>
      <c r="E24" s="6"/>
    </row>
    <row r="25" customFormat="false" ht="15" hidden="false" customHeight="false" outlineLevel="0" collapsed="false">
      <c r="B25" s="18" t="s">
        <v>325</v>
      </c>
      <c r="C25" s="14" t="n">
        <f aca="false">'P&amp;L'!$BK$7</f>
        <v>412230</v>
      </c>
      <c r="D25" s="14" t="n">
        <f aca="false">'P&amp;L'!$BK$7</f>
        <v>412230</v>
      </c>
    </row>
    <row r="26" customFormat="false" ht="15" hidden="false" customHeight="false" outlineLevel="0" collapsed="false">
      <c r="B26" s="18" t="s">
        <v>326</v>
      </c>
      <c r="C26" s="14" t="n">
        <f aca="false">C25/12</f>
        <v>34352.5</v>
      </c>
      <c r="D26" s="14" t="n">
        <f aca="false">D25/12</f>
        <v>34352.5</v>
      </c>
    </row>
    <row r="27" customFormat="false" ht="15" hidden="false" customHeight="false" outlineLevel="0" collapsed="false">
      <c r="B27" s="13" t="s">
        <v>327</v>
      </c>
      <c r="C27" s="50" t="n">
        <f aca="false">IF(C25=0,0,1-C21/C25)</f>
        <v>0.0428839091398395</v>
      </c>
      <c r="D27" s="50" t="n">
        <f aca="false">IF(D25=0,0,1-D21/D25)</f>
        <v>0.0585146420811004</v>
      </c>
    </row>
    <row r="28" customFormat="false" ht="15" hidden="false" customHeight="false" outlineLevel="0" collapsed="false">
      <c r="B28" s="2" t="s">
        <v>328</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58"/>
    <col collapsed="false" customWidth="true" hidden="false" outlineLevel="0" max="3" min="3" style="0" width="16"/>
    <col collapsed="false" customWidth="true" hidden="false" outlineLevel="0" max="4" min="4" style="0" width="12"/>
    <col collapsed="false" customWidth="true" hidden="false" outlineLevel="0" max="5" min="5" style="0" width="40"/>
  </cols>
  <sheetData>
    <row r="1" customFormat="false" ht="17.35" hidden="false" customHeight="false" outlineLevel="0" collapsed="false">
      <c r="B1" s="1" t="s">
        <v>329</v>
      </c>
    </row>
    <row r="2" customFormat="false" ht="15" hidden="false" customHeight="false" outlineLevel="0" collapsed="false">
      <c r="B2" s="2" t="s">
        <v>330</v>
      </c>
    </row>
    <row r="4" customFormat="false" ht="15" hidden="false" customHeight="false" outlineLevel="0" collapsed="false">
      <c r="B4" s="5" t="s">
        <v>331</v>
      </c>
      <c r="C4" s="5" t="s">
        <v>332</v>
      </c>
      <c r="D4" s="5" t="s">
        <v>333</v>
      </c>
      <c r="E4" s="5" t="s">
        <v>334</v>
      </c>
    </row>
    <row r="5" customFormat="false" ht="15" hidden="false" customHeight="false" outlineLevel="0" collapsed="false">
      <c r="B5" s="18" t="s">
        <v>148</v>
      </c>
      <c r="C5" s="44" t="n">
        <f aca="false">Assumptions!$C$62</f>
        <v>30000</v>
      </c>
      <c r="D5" s="24" t="n">
        <f aca="false">IF($C$18=0,0,C5/$C$18)</f>
        <v>0.176470588235294</v>
      </c>
      <c r="E5" s="2" t="s">
        <v>335</v>
      </c>
    </row>
    <row r="6" customFormat="false" ht="15" hidden="false" customHeight="false" outlineLevel="0" collapsed="false">
      <c r="B6" s="18" t="s">
        <v>150</v>
      </c>
      <c r="C6" s="44" t="n">
        <f aca="false">Assumptions!$C$63</f>
        <v>8000</v>
      </c>
      <c r="D6" s="24" t="n">
        <f aca="false">IF($C$18=0,0,C6/$C$18)</f>
        <v>0.0470588235294118</v>
      </c>
      <c r="E6" s="2" t="s">
        <v>335</v>
      </c>
    </row>
    <row r="7" customFormat="false" ht="15" hidden="false" customHeight="false" outlineLevel="0" collapsed="false">
      <c r="B7" s="18" t="s">
        <v>151</v>
      </c>
      <c r="C7" s="44" t="n">
        <f aca="false">Assumptions!$C$64</f>
        <v>15000</v>
      </c>
      <c r="D7" s="24" t="n">
        <f aca="false">IF($C$18=0,0,C7/$C$18)</f>
        <v>0.0882352941176471</v>
      </c>
      <c r="E7" s="2" t="s">
        <v>335</v>
      </c>
    </row>
    <row r="8" customFormat="false" ht="15" hidden="false" customHeight="false" outlineLevel="0" collapsed="false">
      <c r="B8" s="18" t="s">
        <v>152</v>
      </c>
      <c r="C8" s="44" t="n">
        <f aca="false">Assumptions!$C$65</f>
        <v>35000</v>
      </c>
      <c r="D8" s="24" t="n">
        <f aca="false">IF($C$18=0,0,C8/$C$18)</f>
        <v>0.205882352941176</v>
      </c>
      <c r="E8" s="2" t="s">
        <v>335</v>
      </c>
    </row>
    <row r="9" customFormat="false" ht="15" hidden="false" customHeight="false" outlineLevel="0" collapsed="false">
      <c r="B9" s="18" t="s">
        <v>153</v>
      </c>
      <c r="C9" s="44" t="n">
        <f aca="false">Assumptions!$C$66</f>
        <v>6000</v>
      </c>
      <c r="D9" s="24" t="n">
        <f aca="false">IF($C$18=0,0,C9/$C$18)</f>
        <v>0.0352941176470588</v>
      </c>
      <c r="E9" s="2" t="s">
        <v>335</v>
      </c>
    </row>
    <row r="10" customFormat="false" ht="15" hidden="false" customHeight="false" outlineLevel="0" collapsed="false">
      <c r="B10" s="18" t="s">
        <v>154</v>
      </c>
      <c r="C10" s="44" t="n">
        <f aca="false">Assumptions!$C$67</f>
        <v>10000</v>
      </c>
      <c r="D10" s="24" t="n">
        <f aca="false">IF($C$18=0,0,C10/$C$18)</f>
        <v>0.0588235294117647</v>
      </c>
      <c r="E10" s="2" t="s">
        <v>336</v>
      </c>
    </row>
    <row r="11" customFormat="false" ht="15" hidden="false" customHeight="false" outlineLevel="0" collapsed="false">
      <c r="B11" s="18" t="s">
        <v>156</v>
      </c>
      <c r="C11" s="44" t="n">
        <f aca="false">Assumptions!$C$68</f>
        <v>5000</v>
      </c>
      <c r="D11" s="24" t="n">
        <f aca="false">IF($C$18=0,0,C11/$C$18)</f>
        <v>0.0294117647058824</v>
      </c>
      <c r="E11" s="2" t="s">
        <v>336</v>
      </c>
    </row>
    <row r="12" customFormat="false" ht="15" hidden="false" customHeight="false" outlineLevel="0" collapsed="false">
      <c r="B12" s="18" t="s">
        <v>158</v>
      </c>
      <c r="C12" s="44" t="n">
        <f aca="false">Assumptions!$C$69</f>
        <v>1500</v>
      </c>
      <c r="D12" s="24" t="n">
        <f aca="false">IF($C$18=0,0,C12/$C$18)</f>
        <v>0.00882352941176471</v>
      </c>
      <c r="E12" s="2" t="s">
        <v>337</v>
      </c>
    </row>
    <row r="13" customFormat="false" ht="15" hidden="false" customHeight="false" outlineLevel="0" collapsed="false">
      <c r="B13" s="18" t="s">
        <v>160</v>
      </c>
      <c r="C13" s="44" t="n">
        <f aca="false">Assumptions!$C$70</f>
        <v>3500</v>
      </c>
      <c r="D13" s="24" t="n">
        <f aca="false">IF($C$18=0,0,C13/$C$18)</f>
        <v>0.0205882352941176</v>
      </c>
      <c r="E13" s="2" t="s">
        <v>337</v>
      </c>
    </row>
    <row r="14" customFormat="false" ht="15" hidden="false" customHeight="false" outlineLevel="0" collapsed="false">
      <c r="B14" s="18" t="s">
        <v>161</v>
      </c>
      <c r="C14" s="44" t="n">
        <f aca="false">Assumptions!$C$71</f>
        <v>5000</v>
      </c>
      <c r="D14" s="24" t="n">
        <f aca="false">IF($C$18=0,0,C14/$C$18)</f>
        <v>0.0294117647058824</v>
      </c>
      <c r="E14" s="2" t="s">
        <v>337</v>
      </c>
    </row>
    <row r="15" customFormat="false" ht="15" hidden="false" customHeight="false" outlineLevel="0" collapsed="false">
      <c r="B15" s="18" t="s">
        <v>162</v>
      </c>
      <c r="C15" s="44" t="n">
        <f aca="false">Assumptions!$C$72</f>
        <v>6000</v>
      </c>
      <c r="D15" s="24" t="n">
        <f aca="false">IF($C$18=0,0,C15/$C$18)</f>
        <v>0.0352941176470588</v>
      </c>
      <c r="E15" s="2" t="s">
        <v>337</v>
      </c>
    </row>
    <row r="16" customFormat="false" ht="15" hidden="false" customHeight="false" outlineLevel="0" collapsed="false">
      <c r="B16" s="18" t="s">
        <v>163</v>
      </c>
      <c r="C16" s="44" t="n">
        <f aca="false">Assumptions!$C$73</f>
        <v>5000</v>
      </c>
      <c r="D16" s="24" t="n">
        <f aca="false">IF($C$18=0,0,C16/$C$18)</f>
        <v>0.0294117647058824</v>
      </c>
      <c r="E16" s="2" t="s">
        <v>337</v>
      </c>
    </row>
    <row r="17" customFormat="false" ht="15" hidden="false" customHeight="false" outlineLevel="0" collapsed="false">
      <c r="B17" s="18" t="s">
        <v>338</v>
      </c>
      <c r="C17" s="44" t="n">
        <f aca="false">Assumptions!$C$74</f>
        <v>40000</v>
      </c>
      <c r="D17" s="24" t="n">
        <f aca="false">IF($C$18=0,0,C17/$C$18)</f>
        <v>0.235294117647059</v>
      </c>
      <c r="E17" s="2" t="s">
        <v>339</v>
      </c>
    </row>
    <row r="18" customFormat="false" ht="15" hidden="false" customHeight="false" outlineLevel="0" collapsed="false">
      <c r="B18" s="39" t="s">
        <v>340</v>
      </c>
      <c r="C18" s="53" t="n">
        <f aca="false">SUM(C5:C17)</f>
        <v>170000</v>
      </c>
      <c r="D18" s="54" t="n">
        <f aca="false">SUM(D5:D17)</f>
        <v>1</v>
      </c>
    </row>
    <row r="20" customFormat="false" ht="15" hidden="false" customHeight="false" outlineLevel="0" collapsed="false">
      <c r="B20" s="5" t="s">
        <v>341</v>
      </c>
      <c r="C20" s="5" t="s">
        <v>332</v>
      </c>
      <c r="D20" s="5" t="s">
        <v>333</v>
      </c>
      <c r="E20" s="6"/>
    </row>
    <row r="21" customFormat="false" ht="15" hidden="false" customHeight="false" outlineLevel="0" collapsed="false">
      <c r="B21" s="18" t="s">
        <v>43</v>
      </c>
      <c r="C21" s="44" t="n">
        <f aca="false">Assumptions!$C$97</f>
        <v>110000</v>
      </c>
      <c r="D21" s="24" t="n">
        <f aca="false">IF($C$24=0,0,C21/$C$24)</f>
        <v>0.647058823529412</v>
      </c>
    </row>
    <row r="22" customFormat="false" ht="15" hidden="false" customHeight="false" outlineLevel="0" collapsed="false">
      <c r="B22" s="18" t="s">
        <v>342</v>
      </c>
      <c r="C22" s="44" t="n">
        <f aca="false">Assumptions!$C$100</f>
        <v>50000</v>
      </c>
      <c r="D22" s="24" t="n">
        <f aca="false">IF($C$24=0,0,C22/$C$24)</f>
        <v>0.294117647058824</v>
      </c>
    </row>
    <row r="23" customFormat="false" ht="15" hidden="false" customHeight="false" outlineLevel="0" collapsed="false">
      <c r="B23" s="18" t="s">
        <v>199</v>
      </c>
      <c r="C23" s="44" t="n">
        <f aca="false">Assumptions!$C$101</f>
        <v>10000</v>
      </c>
      <c r="D23" s="24" t="n">
        <f aca="false">IF($C$24=0,0,C23/$C$24)</f>
        <v>0.0588235294117647</v>
      </c>
    </row>
    <row r="24" customFormat="false" ht="15" hidden="false" customHeight="false" outlineLevel="0" collapsed="false">
      <c r="B24" s="39" t="s">
        <v>343</v>
      </c>
      <c r="C24" s="53" t="n">
        <f aca="false">SUM(C21:C23)</f>
        <v>170000</v>
      </c>
      <c r="D24" s="54" t="n">
        <f aca="false">SUM(D21:D23)</f>
        <v>1</v>
      </c>
    </row>
    <row r="26" customFormat="false" ht="15" hidden="false" customHeight="false" outlineLevel="0" collapsed="false">
      <c r="B26" s="13" t="s">
        <v>344</v>
      </c>
      <c r="C26" s="51" t="n">
        <f aca="false">C24-C18</f>
        <v>0</v>
      </c>
      <c r="D26" s="13" t="str">
        <f aca="false">IF(C26&lt;0,"FUNDING GAP — raise more or cut costs",IF(C26=0,"Balanced","Surplus adds to opening cash"))</f>
        <v>Balanced</v>
      </c>
    </row>
    <row r="27" customFormat="false" ht="15" hidden="false" customHeight="false" outlineLevel="0" collapsed="false">
      <c r="B27" s="13" t="s">
        <v>345</v>
      </c>
      <c r="C27" s="51" t="n">
        <f aca="false">Assumptions!$C$74+C26</f>
        <v>40000</v>
      </c>
    </row>
    <row r="29" customFormat="false" ht="15" hidden="false" customHeight="false" outlineLevel="0" collapsed="false">
      <c r="B29" s="5" t="s">
        <v>346</v>
      </c>
      <c r="C29" s="6"/>
      <c r="D29" s="6"/>
      <c r="E29" s="6"/>
    </row>
    <row r="30" customFormat="false" ht="15" hidden="false" customHeight="false" outlineLevel="0" collapsed="false">
      <c r="B30" s="18" t="s">
        <v>347</v>
      </c>
      <c r="C30" s="24" t="n">
        <f aca="false">IF(C18=0,0,(Assumptions!$C$100+Assumptions!$C$101)/C18)</f>
        <v>0.352941176470588</v>
      </c>
    </row>
    <row r="31" customFormat="false" ht="15" hidden="false" customHeight="false" outlineLevel="0" collapsed="false">
      <c r="B31" s="18" t="s">
        <v>348</v>
      </c>
      <c r="C31" s="24" t="n">
        <f aca="false">IF(C18=0,0,Assumptions!$C$97/C18)</f>
        <v>0.647058823529412</v>
      </c>
    </row>
    <row r="32" customFormat="false" ht="15" hidden="false" customHeight="false" outlineLevel="0" collapsed="false">
      <c r="B32" s="2" t="s">
        <v>349</v>
      </c>
    </row>
    <row r="34" customFormat="false" ht="15" hidden="false" customHeight="false" outlineLevel="0" collapsed="false">
      <c r="B34" s="13" t="s">
        <v>350</v>
      </c>
    </row>
    <row r="35" customFormat="false" ht="27.75" hidden="false" customHeight="true" outlineLevel="0" collapsed="false">
      <c r="B35" s="7" t="s">
        <v>351</v>
      </c>
      <c r="C35" s="7"/>
      <c r="D35" s="7"/>
      <c r="E35" s="7"/>
    </row>
    <row r="36" customFormat="false" ht="27.75" hidden="false" customHeight="true" outlineLevel="0" collapsed="false">
      <c r="B36" s="7" t="s">
        <v>352</v>
      </c>
      <c r="C36" s="7"/>
      <c r="D36" s="7"/>
      <c r="E36" s="7"/>
    </row>
    <row r="37" customFormat="false" ht="27.75" hidden="false" customHeight="true" outlineLevel="0" collapsed="false">
      <c r="B37" s="7" t="s">
        <v>353</v>
      </c>
      <c r="C37" s="7"/>
      <c r="D37" s="7"/>
      <c r="E37" s="7"/>
    </row>
    <row r="38" customFormat="false" ht="27.75" hidden="false" customHeight="true" outlineLevel="0" collapsed="false">
      <c r="B38" s="7" t="s">
        <v>354</v>
      </c>
      <c r="C38" s="7"/>
      <c r="D38" s="7"/>
      <c r="E38" s="7"/>
    </row>
  </sheetData>
  <mergeCells count="4">
    <mergeCell ref="B35:E35"/>
    <mergeCell ref="B36:E36"/>
    <mergeCell ref="B37:E37"/>
    <mergeCell ref="B38:E38"/>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37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3" topLeftCell="B14" activePane="bottomRight" state="frozen"/>
      <selection pane="topLeft" activeCell="A1" activeCellId="0" sqref="A1"/>
      <selection pane="topRight" activeCell="B1" activeCellId="0" sqref="B1"/>
      <selection pane="bottomLeft" activeCell="A14" activeCellId="0" sqref="A14"/>
      <selection pane="bottomRigh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12"/>
    <col collapsed="false" customWidth="true" hidden="false" outlineLevel="0" max="3" min="3" style="0" width="14"/>
    <col collapsed="false" customWidth="true" hidden="false" outlineLevel="0" max="4" min="4" style="0" width="18"/>
    <col collapsed="false" customWidth="true" hidden="false" outlineLevel="0" max="5" min="5" style="0" width="14"/>
    <col collapsed="false" customWidth="true" hidden="false" outlineLevel="0" max="6" min="6" style="0" width="22"/>
    <col collapsed="false" customWidth="true" hidden="false" outlineLevel="0" max="7" min="7" style="0" width="18"/>
  </cols>
  <sheetData>
    <row r="1" customFormat="false" ht="17.35" hidden="false" customHeight="false" outlineLevel="0" collapsed="false">
      <c r="B1" s="1" t="s">
        <v>355</v>
      </c>
    </row>
    <row r="2" customFormat="false" ht="15" hidden="false" customHeight="false" outlineLevel="0" collapsed="false">
      <c r="B2" s="2" t="s">
        <v>356</v>
      </c>
    </row>
    <row r="4" customFormat="false" ht="15" hidden="false" customHeight="false" outlineLevel="0" collapsed="false">
      <c r="B4" s="13" t="s">
        <v>192</v>
      </c>
      <c r="D4" s="44" t="n">
        <f aca="false">Assumptions!$C$97</f>
        <v>110000</v>
      </c>
      <c r="F4" s="13" t="s">
        <v>357</v>
      </c>
      <c r="G4" s="14" t="n">
        <f aca="false">SUM(D14:D25)</f>
        <v>21237.5833032509</v>
      </c>
    </row>
    <row r="5" customFormat="false" ht="15" hidden="false" customHeight="false" outlineLevel="0" collapsed="false">
      <c r="B5" s="13" t="s">
        <v>358</v>
      </c>
      <c r="D5" s="55" t="n">
        <f aca="false">Assumptions!$C$98</f>
        <v>0.09</v>
      </c>
      <c r="F5" s="13" t="s">
        <v>359</v>
      </c>
      <c r="G5" s="14" t="n">
        <f aca="false">SUM(D26:D37)</f>
        <v>21237.5833032509</v>
      </c>
    </row>
    <row r="6" customFormat="false" ht="15" hidden="false" customHeight="false" outlineLevel="0" collapsed="false">
      <c r="B6" s="13" t="s">
        <v>360</v>
      </c>
      <c r="D6" s="56" t="n">
        <f aca="false">Assumptions!$C$99*12</f>
        <v>84</v>
      </c>
      <c r="F6" s="13" t="s">
        <v>361</v>
      </c>
      <c r="G6" s="14" t="n">
        <f aca="false">SUM(D38:D49)</f>
        <v>21237.5833032509</v>
      </c>
    </row>
    <row r="7" customFormat="false" ht="15" hidden="false" customHeight="false" outlineLevel="0" collapsed="false">
      <c r="B7" s="13" t="s">
        <v>362</v>
      </c>
      <c r="D7" s="37" t="n">
        <f aca="false">IF(OR(D4&lt;=0,D6&lt;=0),0,IF(D5=0,D4/D6,PMT(D5/12,D6,-D4)))</f>
        <v>1769.79860860424</v>
      </c>
      <c r="F7" s="13" t="s">
        <v>363</v>
      </c>
      <c r="G7" s="14" t="n">
        <f aca="false">SUM(D50:D61)</f>
        <v>21237.5833032509</v>
      </c>
    </row>
    <row r="8" customFormat="false" ht="15" hidden="false" customHeight="false" outlineLevel="0" collapsed="false">
      <c r="B8" s="13" t="s">
        <v>364</v>
      </c>
      <c r="D8" s="14" t="n">
        <f aca="false">SUM(E14:E373)</f>
        <v>38663.0831227562</v>
      </c>
      <c r="F8" s="13" t="s">
        <v>365</v>
      </c>
      <c r="G8" s="14" t="n">
        <f aca="false">SUM(D62:D73)</f>
        <v>21237.5833032509</v>
      </c>
    </row>
    <row r="9" customFormat="false" ht="15" hidden="false" customHeight="false" outlineLevel="0" collapsed="false">
      <c r="F9" s="13" t="s">
        <v>366</v>
      </c>
      <c r="G9" s="14" t="n">
        <f aca="false">G73</f>
        <v>38739.3803775722</v>
      </c>
    </row>
    <row r="11" customFormat="false" ht="15" hidden="false" customHeight="false" outlineLevel="0" collapsed="false">
      <c r="B11" s="2" t="s">
        <v>367</v>
      </c>
    </row>
    <row r="13" customFormat="false" ht="15" hidden="false" customHeight="false" outlineLevel="0" collapsed="false">
      <c r="B13" s="57" t="s">
        <v>216</v>
      </c>
      <c r="C13" s="57" t="s">
        <v>368</v>
      </c>
      <c r="D13" s="57" t="s">
        <v>369</v>
      </c>
      <c r="E13" s="57" t="s">
        <v>370</v>
      </c>
      <c r="F13" s="57" t="s">
        <v>371</v>
      </c>
      <c r="G13" s="57" t="s">
        <v>372</v>
      </c>
    </row>
    <row r="14" customFormat="false" ht="15" hidden="false" customHeight="false" outlineLevel="0" collapsed="false">
      <c r="B14" s="56" t="n">
        <v>1</v>
      </c>
      <c r="C14" s="37" t="n">
        <f aca="false">$D$4</f>
        <v>110000</v>
      </c>
      <c r="D14" s="37" t="n">
        <f aca="false">E14+F14</f>
        <v>1769.79860860424</v>
      </c>
      <c r="E14" s="37" t="n">
        <f aca="false">IF(B14&lt;=$D$6,C14*$D$5/12,0)</f>
        <v>825</v>
      </c>
      <c r="F14" s="37" t="n">
        <f aca="false">IF(B14&lt;=$D$6,IF(B14=$D$6,C14,MIN($D$7-E14,C14)),0)</f>
        <v>944.798608604241</v>
      </c>
      <c r="G14" s="37" t="n">
        <f aca="false">C14-F14</f>
        <v>109055.201391396</v>
      </c>
    </row>
    <row r="15" customFormat="false" ht="15" hidden="false" customHeight="false" outlineLevel="0" collapsed="false">
      <c r="B15" s="56" t="n">
        <v>2</v>
      </c>
      <c r="C15" s="37" t="n">
        <f aca="false">G14</f>
        <v>109055.201391396</v>
      </c>
      <c r="D15" s="37" t="n">
        <f aca="false">E15+F15</f>
        <v>1769.79860860424</v>
      </c>
      <c r="E15" s="37" t="n">
        <f aca="false">IF(B15&lt;=$D$6,C15*$D$5/12,0)</f>
        <v>817.914010435468</v>
      </c>
      <c r="F15" s="37" t="n">
        <f aca="false">IF(B15&lt;=$D$6,IF(B15=$D$6,C15,MIN($D$7-E15,C15)),0)</f>
        <v>951.884598168773</v>
      </c>
      <c r="G15" s="37" t="n">
        <f aca="false">C15-F15</f>
        <v>108103.316793227</v>
      </c>
    </row>
    <row r="16" customFormat="false" ht="15" hidden="false" customHeight="false" outlineLevel="0" collapsed="false">
      <c r="B16" s="56" t="n">
        <v>3</v>
      </c>
      <c r="C16" s="37" t="n">
        <f aca="false">G15</f>
        <v>108103.316793227</v>
      </c>
      <c r="D16" s="37" t="n">
        <f aca="false">E16+F16</f>
        <v>1769.79860860424</v>
      </c>
      <c r="E16" s="37" t="n">
        <f aca="false">IF(B16&lt;=$D$6,C16*$D$5/12,0)</f>
        <v>810.774875949202</v>
      </c>
      <c r="F16" s="37" t="n">
        <f aca="false">IF(B16&lt;=$D$6,IF(B16=$D$6,C16,MIN($D$7-E16,C16)),0)</f>
        <v>959.023732655038</v>
      </c>
      <c r="G16" s="37" t="n">
        <f aca="false">C16-F16</f>
        <v>107144.293060572</v>
      </c>
    </row>
    <row r="17" customFormat="false" ht="15" hidden="false" customHeight="false" outlineLevel="0" collapsed="false">
      <c r="B17" s="56" t="n">
        <v>4</v>
      </c>
      <c r="C17" s="37" t="n">
        <f aca="false">G16</f>
        <v>107144.293060572</v>
      </c>
      <c r="D17" s="37" t="n">
        <f aca="false">E17+F17</f>
        <v>1769.79860860424</v>
      </c>
      <c r="E17" s="37" t="n">
        <f aca="false">IF(B17&lt;=$D$6,C17*$D$5/12,0)</f>
        <v>803.58219795429</v>
      </c>
      <c r="F17" s="37" t="n">
        <f aca="false">IF(B17&lt;=$D$6,IF(B17=$D$6,C17,MIN($D$7-E17,C17)),0)</f>
        <v>966.216410649951</v>
      </c>
      <c r="G17" s="37" t="n">
        <f aca="false">C17-F17</f>
        <v>106178.076649922</v>
      </c>
    </row>
    <row r="18" customFormat="false" ht="15" hidden="false" customHeight="false" outlineLevel="0" collapsed="false">
      <c r="B18" s="56" t="n">
        <v>5</v>
      </c>
      <c r="C18" s="37" t="n">
        <f aca="false">G17</f>
        <v>106178.076649922</v>
      </c>
      <c r="D18" s="37" t="n">
        <f aca="false">E18+F18</f>
        <v>1769.79860860424</v>
      </c>
      <c r="E18" s="37" t="n">
        <f aca="false">IF(B18&lt;=$D$6,C18*$D$5/12,0)</f>
        <v>796.335574874415</v>
      </c>
      <c r="F18" s="37" t="n">
        <f aca="false">IF(B18&lt;=$D$6,IF(B18=$D$6,C18,MIN($D$7-E18,C18)),0)</f>
        <v>973.463033729826</v>
      </c>
      <c r="G18" s="37" t="n">
        <f aca="false">C18-F18</f>
        <v>105204.613616192</v>
      </c>
    </row>
    <row r="19" customFormat="false" ht="15" hidden="false" customHeight="false" outlineLevel="0" collapsed="false">
      <c r="B19" s="56" t="n">
        <v>6</v>
      </c>
      <c r="C19" s="37" t="n">
        <f aca="false">G18</f>
        <v>105204.613616192</v>
      </c>
      <c r="D19" s="37" t="n">
        <f aca="false">E19+F19</f>
        <v>1769.79860860424</v>
      </c>
      <c r="E19" s="37" t="n">
        <f aca="false">IF(B19&lt;=$D$6,C19*$D$5/12,0)</f>
        <v>789.034602121441</v>
      </c>
      <c r="F19" s="37" t="n">
        <f aca="false">IF(B19&lt;=$D$6,IF(B19=$D$6,C19,MIN($D$7-E19,C19)),0)</f>
        <v>980.7640064828</v>
      </c>
      <c r="G19" s="37" t="n">
        <f aca="false">C19-F19</f>
        <v>104223.849609709</v>
      </c>
    </row>
    <row r="20" customFormat="false" ht="15" hidden="false" customHeight="false" outlineLevel="0" collapsed="false">
      <c r="B20" s="56" t="n">
        <v>7</v>
      </c>
      <c r="C20" s="37" t="n">
        <f aca="false">G19</f>
        <v>104223.849609709</v>
      </c>
      <c r="D20" s="37" t="n">
        <f aca="false">E20+F20</f>
        <v>1769.79860860424</v>
      </c>
      <c r="E20" s="37" t="n">
        <f aca="false">IF(B20&lt;=$D$6,C20*$D$5/12,0)</f>
        <v>781.67887207282</v>
      </c>
      <c r="F20" s="37" t="n">
        <f aca="false">IF(B20&lt;=$D$6,IF(B20=$D$6,C20,MIN($D$7-E20,C20)),0)</f>
        <v>988.119736531421</v>
      </c>
      <c r="G20" s="37" t="n">
        <f aca="false">C20-F20</f>
        <v>103235.729873178</v>
      </c>
    </row>
    <row r="21" customFormat="false" ht="15" hidden="false" customHeight="false" outlineLevel="0" collapsed="false">
      <c r="B21" s="56" t="n">
        <v>8</v>
      </c>
      <c r="C21" s="37" t="n">
        <f aca="false">G20</f>
        <v>103235.729873178</v>
      </c>
      <c r="D21" s="37" t="n">
        <f aca="false">E21+F21</f>
        <v>1769.79860860424</v>
      </c>
      <c r="E21" s="37" t="n">
        <f aca="false">IF(B21&lt;=$D$6,C21*$D$5/12,0)</f>
        <v>774.267974048835</v>
      </c>
      <c r="F21" s="37" t="n">
        <f aca="false">IF(B21&lt;=$D$6,IF(B21=$D$6,C21,MIN($D$7-E21,C21)),0)</f>
        <v>995.530634555406</v>
      </c>
      <c r="G21" s="37" t="n">
        <f aca="false">C21-F21</f>
        <v>102240.199238623</v>
      </c>
    </row>
    <row r="22" customFormat="false" ht="15" hidden="false" customHeight="false" outlineLevel="0" collapsed="false">
      <c r="B22" s="56" t="n">
        <v>9</v>
      </c>
      <c r="C22" s="37" t="n">
        <f aca="false">G21</f>
        <v>102240.199238623</v>
      </c>
      <c r="D22" s="37" t="n">
        <f aca="false">E22+F22</f>
        <v>1769.79860860424</v>
      </c>
      <c r="E22" s="37" t="n">
        <f aca="false">IF(B22&lt;=$D$6,C22*$D$5/12,0)</f>
        <v>766.801494289669</v>
      </c>
      <c r="F22" s="37" t="n">
        <f aca="false">IF(B22&lt;=$D$6,IF(B22=$D$6,C22,MIN($D$7-E22,C22)),0)</f>
        <v>1002.99711431457</v>
      </c>
      <c r="G22" s="37" t="n">
        <f aca="false">C22-F22</f>
        <v>101237.202124308</v>
      </c>
    </row>
    <row r="23" customFormat="false" ht="15" hidden="false" customHeight="false" outlineLevel="0" collapsed="false">
      <c r="B23" s="56" t="n">
        <v>10</v>
      </c>
      <c r="C23" s="37" t="n">
        <f aca="false">G22</f>
        <v>101237.202124308</v>
      </c>
      <c r="D23" s="37" t="n">
        <f aca="false">E23+F23</f>
        <v>1769.79860860424</v>
      </c>
      <c r="E23" s="37" t="n">
        <f aca="false">IF(B23&lt;=$D$6,C23*$D$5/12,0)</f>
        <v>759.27901593231</v>
      </c>
      <c r="F23" s="37" t="n">
        <f aca="false">IF(B23&lt;=$D$6,IF(B23=$D$6,C23,MIN($D$7-E23,C23)),0)</f>
        <v>1010.51959267193</v>
      </c>
      <c r="G23" s="37" t="n">
        <f aca="false">C23-F23</f>
        <v>100226.682531636</v>
      </c>
    </row>
    <row r="24" customFormat="false" ht="15" hidden="false" customHeight="false" outlineLevel="0" collapsed="false">
      <c r="B24" s="56" t="n">
        <v>11</v>
      </c>
      <c r="C24" s="37" t="n">
        <f aca="false">G23</f>
        <v>100226.682531636</v>
      </c>
      <c r="D24" s="37" t="n">
        <f aca="false">E24+F24</f>
        <v>1769.79860860424</v>
      </c>
      <c r="E24" s="37" t="n">
        <f aca="false">IF(B24&lt;=$D$6,C24*$D$5/12,0)</f>
        <v>751.70011898727</v>
      </c>
      <c r="F24" s="37" t="n">
        <f aca="false">IF(B24&lt;=$D$6,IF(B24=$D$6,C24,MIN($D$7-E24,C24)),0)</f>
        <v>1018.09848961697</v>
      </c>
      <c r="G24" s="37" t="n">
        <f aca="false">C24-F24</f>
        <v>99208.5840420191</v>
      </c>
    </row>
    <row r="25" customFormat="false" ht="15" hidden="false" customHeight="false" outlineLevel="0" collapsed="false">
      <c r="B25" s="56" t="n">
        <v>12</v>
      </c>
      <c r="C25" s="37" t="n">
        <f aca="false">G24</f>
        <v>99208.5840420191</v>
      </c>
      <c r="D25" s="37" t="n">
        <f aca="false">E25+F25</f>
        <v>1769.79860860424</v>
      </c>
      <c r="E25" s="37" t="n">
        <f aca="false">IF(B25&lt;=$D$6,C25*$D$5/12,0)</f>
        <v>744.064380315143</v>
      </c>
      <c r="F25" s="37" t="n">
        <f aca="false">IF(B25&lt;=$D$6,IF(B25=$D$6,C25,MIN($D$7-E25,C25)),0)</f>
        <v>1025.7342282891</v>
      </c>
      <c r="G25" s="37" t="n">
        <f aca="false">C25-F25</f>
        <v>98182.84981373</v>
      </c>
    </row>
    <row r="26" customFormat="false" ht="15" hidden="false" customHeight="false" outlineLevel="0" collapsed="false">
      <c r="B26" s="56" t="n">
        <v>13</v>
      </c>
      <c r="C26" s="37" t="n">
        <f aca="false">G25</f>
        <v>98182.84981373</v>
      </c>
      <c r="D26" s="37" t="n">
        <f aca="false">E26+F26</f>
        <v>1769.79860860424</v>
      </c>
      <c r="E26" s="37" t="n">
        <f aca="false">IF(B26&lt;=$D$6,C26*$D$5/12,0)</f>
        <v>736.371373602975</v>
      </c>
      <c r="F26" s="37" t="n">
        <f aca="false">IF(B26&lt;=$D$6,IF(B26=$D$6,C26,MIN($D$7-E26,C26)),0)</f>
        <v>1033.42723500127</v>
      </c>
      <c r="G26" s="37" t="n">
        <f aca="false">C26-F26</f>
        <v>97149.4225787287</v>
      </c>
    </row>
    <row r="27" customFormat="false" ht="15" hidden="false" customHeight="false" outlineLevel="0" collapsed="false">
      <c r="B27" s="56" t="n">
        <v>14</v>
      </c>
      <c r="C27" s="37" t="n">
        <f aca="false">G26</f>
        <v>97149.4225787287</v>
      </c>
      <c r="D27" s="37" t="n">
        <f aca="false">E27+F27</f>
        <v>1769.79860860424</v>
      </c>
      <c r="E27" s="37" t="n">
        <f aca="false">IF(B27&lt;=$D$6,C27*$D$5/12,0)</f>
        <v>728.620669340465</v>
      </c>
      <c r="F27" s="37" t="n">
        <f aca="false">IF(B27&lt;=$D$6,IF(B27=$D$6,C27,MIN($D$7-E27,C27)),0)</f>
        <v>1041.17793926378</v>
      </c>
      <c r="G27" s="37" t="n">
        <f aca="false">C27-F27</f>
        <v>96108.2446394649</v>
      </c>
    </row>
    <row r="28" customFormat="false" ht="15" hidden="false" customHeight="false" outlineLevel="0" collapsed="false">
      <c r="B28" s="56" t="n">
        <v>15</v>
      </c>
      <c r="C28" s="37" t="n">
        <f aca="false">G27</f>
        <v>96108.2446394649</v>
      </c>
      <c r="D28" s="37" t="n">
        <f aca="false">E28+F28</f>
        <v>1769.79860860424</v>
      </c>
      <c r="E28" s="37" t="n">
        <f aca="false">IF(B28&lt;=$D$6,C28*$D$5/12,0)</f>
        <v>720.811834795987</v>
      </c>
      <c r="F28" s="37" t="n">
        <f aca="false">IF(B28&lt;=$D$6,IF(B28=$D$6,C28,MIN($D$7-E28,C28)),0)</f>
        <v>1048.98677380825</v>
      </c>
      <c r="G28" s="37" t="n">
        <f aca="false">C28-F28</f>
        <v>95059.2578656567</v>
      </c>
    </row>
    <row r="29" customFormat="false" ht="15" hidden="false" customHeight="false" outlineLevel="0" collapsed="false">
      <c r="B29" s="56" t="n">
        <v>16</v>
      </c>
      <c r="C29" s="37" t="n">
        <f aca="false">G28</f>
        <v>95059.2578656567</v>
      </c>
      <c r="D29" s="37" t="n">
        <f aca="false">E29+F29</f>
        <v>1769.79860860424</v>
      </c>
      <c r="E29" s="37" t="n">
        <f aca="false">IF(B29&lt;=$D$6,C29*$D$5/12,0)</f>
        <v>712.944433992425</v>
      </c>
      <c r="F29" s="37" t="n">
        <f aca="false">IF(B29&lt;=$D$6,IF(B29=$D$6,C29,MIN($D$7-E29,C29)),0)</f>
        <v>1056.85417461182</v>
      </c>
      <c r="G29" s="37" t="n">
        <f aca="false">C29-F29</f>
        <v>94002.4036910449</v>
      </c>
    </row>
    <row r="30" customFormat="false" ht="15" hidden="false" customHeight="false" outlineLevel="0" collapsed="false">
      <c r="B30" s="56" t="n">
        <v>17</v>
      </c>
      <c r="C30" s="37" t="n">
        <f aca="false">G29</f>
        <v>94002.4036910449</v>
      </c>
      <c r="D30" s="37" t="n">
        <f aca="false">E30+F30</f>
        <v>1769.79860860424</v>
      </c>
      <c r="E30" s="37" t="n">
        <f aca="false">IF(B30&lt;=$D$6,C30*$D$5/12,0)</f>
        <v>705.018027682836</v>
      </c>
      <c r="F30" s="37" t="n">
        <f aca="false">IF(B30&lt;=$D$6,IF(B30=$D$6,C30,MIN($D$7-E30,C30)),0)</f>
        <v>1064.7805809214</v>
      </c>
      <c r="G30" s="37" t="n">
        <f aca="false">C30-F30</f>
        <v>92937.6231101235</v>
      </c>
    </row>
    <row r="31" customFormat="false" ht="15" hidden="false" customHeight="false" outlineLevel="0" collapsed="false">
      <c r="B31" s="56" t="n">
        <v>18</v>
      </c>
      <c r="C31" s="37" t="n">
        <f aca="false">G30</f>
        <v>92937.6231101235</v>
      </c>
      <c r="D31" s="37" t="n">
        <f aca="false">E31+F31</f>
        <v>1769.79860860424</v>
      </c>
      <c r="E31" s="37" t="n">
        <f aca="false">IF(B31&lt;=$D$6,C31*$D$5/12,0)</f>
        <v>697.032173325926</v>
      </c>
      <c r="F31" s="37" t="n">
        <f aca="false">IF(B31&lt;=$D$6,IF(B31=$D$6,C31,MIN($D$7-E31,C31)),0)</f>
        <v>1072.76643527832</v>
      </c>
      <c r="G31" s="37" t="n">
        <f aca="false">C31-F31</f>
        <v>91864.8566748451</v>
      </c>
    </row>
    <row r="32" customFormat="false" ht="15" hidden="false" customHeight="false" outlineLevel="0" collapsed="false">
      <c r="B32" s="56" t="n">
        <v>19</v>
      </c>
      <c r="C32" s="37" t="n">
        <f aca="false">G31</f>
        <v>91864.8566748451</v>
      </c>
      <c r="D32" s="37" t="n">
        <f aca="false">E32+F32</f>
        <v>1769.79860860424</v>
      </c>
      <c r="E32" s="37" t="n">
        <f aca="false">IF(B32&lt;=$D$6,C32*$D$5/12,0)</f>
        <v>688.986425061339</v>
      </c>
      <c r="F32" s="37" t="n">
        <f aca="false">IF(B32&lt;=$D$6,IF(B32=$D$6,C32,MIN($D$7-E32,C32)),0)</f>
        <v>1080.8121835429</v>
      </c>
      <c r="G32" s="37" t="n">
        <f aca="false">C32-F32</f>
        <v>90784.0444913022</v>
      </c>
    </row>
    <row r="33" customFormat="false" ht="15" hidden="false" customHeight="false" outlineLevel="0" collapsed="false">
      <c r="B33" s="56" t="n">
        <v>20</v>
      </c>
      <c r="C33" s="37" t="n">
        <f aca="false">G32</f>
        <v>90784.0444913022</v>
      </c>
      <c r="D33" s="37" t="n">
        <f aca="false">E33+F33</f>
        <v>1769.79860860424</v>
      </c>
      <c r="E33" s="37" t="n">
        <f aca="false">IF(B33&lt;=$D$6,C33*$D$5/12,0)</f>
        <v>680.880333684767</v>
      </c>
      <c r="F33" s="37" t="n">
        <f aca="false">IF(B33&lt;=$D$6,IF(B33=$D$6,C33,MIN($D$7-E33,C33)),0)</f>
        <v>1088.91827491947</v>
      </c>
      <c r="G33" s="37" t="n">
        <f aca="false">C33-F33</f>
        <v>89695.1262163828</v>
      </c>
    </row>
    <row r="34" customFormat="false" ht="15" hidden="false" customHeight="false" outlineLevel="0" collapsed="false">
      <c r="B34" s="56" t="n">
        <v>21</v>
      </c>
      <c r="C34" s="37" t="n">
        <f aca="false">G33</f>
        <v>89695.1262163828</v>
      </c>
      <c r="D34" s="37" t="n">
        <f aca="false">E34+F34</f>
        <v>1769.79860860424</v>
      </c>
      <c r="E34" s="37" t="n">
        <f aca="false">IF(B34&lt;=$D$6,C34*$D$5/12,0)</f>
        <v>672.713446622871</v>
      </c>
      <c r="F34" s="37" t="n">
        <f aca="false">IF(B34&lt;=$D$6,IF(B34=$D$6,C34,MIN($D$7-E34,C34)),0)</f>
        <v>1097.08516198137</v>
      </c>
      <c r="G34" s="37" t="n">
        <f aca="false">C34-F34</f>
        <v>88598.0410544014</v>
      </c>
    </row>
    <row r="35" customFormat="false" ht="15" hidden="false" customHeight="false" outlineLevel="0" collapsed="false">
      <c r="B35" s="56" t="n">
        <v>22</v>
      </c>
      <c r="C35" s="37" t="n">
        <f aca="false">G34</f>
        <v>88598.0410544014</v>
      </c>
      <c r="D35" s="37" t="n">
        <f aca="false">E35+F35</f>
        <v>1769.79860860424</v>
      </c>
      <c r="E35" s="37" t="n">
        <f aca="false">IF(B35&lt;=$D$6,C35*$D$5/12,0)</f>
        <v>664.48530790801</v>
      </c>
      <c r="F35" s="37" t="n">
        <f aca="false">IF(B35&lt;=$D$6,IF(B35=$D$6,C35,MIN($D$7-E35,C35)),0)</f>
        <v>1105.31330069623</v>
      </c>
      <c r="G35" s="37" t="n">
        <f aca="false">C35-F35</f>
        <v>87492.7277537052</v>
      </c>
    </row>
    <row r="36" customFormat="false" ht="15" hidden="false" customHeight="false" outlineLevel="0" collapsed="false">
      <c r="B36" s="56" t="n">
        <v>23</v>
      </c>
      <c r="C36" s="37" t="n">
        <f aca="false">G35</f>
        <v>87492.7277537052</v>
      </c>
      <c r="D36" s="37" t="n">
        <f aca="false">E36+F36</f>
        <v>1769.79860860424</v>
      </c>
      <c r="E36" s="37" t="n">
        <f aca="false">IF(B36&lt;=$D$6,C36*$D$5/12,0)</f>
        <v>656.195458152789</v>
      </c>
      <c r="F36" s="37" t="n">
        <f aca="false">IF(B36&lt;=$D$6,IF(B36=$D$6,C36,MIN($D$7-E36,C36)),0)</f>
        <v>1113.60315045145</v>
      </c>
      <c r="G36" s="37" t="n">
        <f aca="false">C36-F36</f>
        <v>86379.1246032537</v>
      </c>
    </row>
    <row r="37" customFormat="false" ht="15" hidden="false" customHeight="false" outlineLevel="0" collapsed="false">
      <c r="B37" s="56" t="n">
        <v>24</v>
      </c>
      <c r="C37" s="37" t="n">
        <f aca="false">G36</f>
        <v>86379.1246032537</v>
      </c>
      <c r="D37" s="37" t="n">
        <f aca="false">E37+F37</f>
        <v>1769.79860860424</v>
      </c>
      <c r="E37" s="37" t="n">
        <f aca="false">IF(B37&lt;=$D$6,C37*$D$5/12,0)</f>
        <v>647.843434524403</v>
      </c>
      <c r="F37" s="37" t="n">
        <f aca="false">IF(B37&lt;=$D$6,IF(B37=$D$6,C37,MIN($D$7-E37,C37)),0)</f>
        <v>1121.95517407984</v>
      </c>
      <c r="G37" s="37" t="n">
        <f aca="false">C37-F37</f>
        <v>85257.1694291739</v>
      </c>
    </row>
    <row r="38" customFormat="false" ht="15" hidden="false" customHeight="false" outlineLevel="0" collapsed="false">
      <c r="B38" s="56" t="n">
        <v>25</v>
      </c>
      <c r="C38" s="37" t="n">
        <f aca="false">G37</f>
        <v>85257.1694291739</v>
      </c>
      <c r="D38" s="37" t="n">
        <f aca="false">E38+F38</f>
        <v>1769.79860860424</v>
      </c>
      <c r="E38" s="37" t="n">
        <f aca="false">IF(B38&lt;=$D$6,C38*$D$5/12,0)</f>
        <v>639.428770718804</v>
      </c>
      <c r="F38" s="37" t="n">
        <f aca="false">IF(B38&lt;=$D$6,IF(B38=$D$6,C38,MIN($D$7-E38,C38)),0)</f>
        <v>1130.36983788544</v>
      </c>
      <c r="G38" s="37" t="n">
        <f aca="false">C38-F38</f>
        <v>84126.7995912884</v>
      </c>
    </row>
    <row r="39" customFormat="false" ht="15" hidden="false" customHeight="false" outlineLevel="0" collapsed="false">
      <c r="B39" s="56" t="n">
        <v>26</v>
      </c>
      <c r="C39" s="37" t="n">
        <f aca="false">G38</f>
        <v>84126.7995912884</v>
      </c>
      <c r="D39" s="37" t="n">
        <f aca="false">E39+F39</f>
        <v>1769.79860860424</v>
      </c>
      <c r="E39" s="37" t="n">
        <f aca="false">IF(B39&lt;=$D$6,C39*$D$5/12,0)</f>
        <v>630.950996934663</v>
      </c>
      <c r="F39" s="37" t="n">
        <f aca="false">IF(B39&lt;=$D$6,IF(B39=$D$6,C39,MIN($D$7-E39,C39)),0)</f>
        <v>1138.84761166958</v>
      </c>
      <c r="G39" s="37" t="n">
        <f aca="false">C39-F39</f>
        <v>82987.9519796189</v>
      </c>
    </row>
    <row r="40" customFormat="false" ht="15" hidden="false" customHeight="false" outlineLevel="0" collapsed="false">
      <c r="B40" s="56" t="n">
        <v>27</v>
      </c>
      <c r="C40" s="37" t="n">
        <f aca="false">G39</f>
        <v>82987.9519796189</v>
      </c>
      <c r="D40" s="37" t="n">
        <f aca="false">E40+F40</f>
        <v>1769.79860860424</v>
      </c>
      <c r="E40" s="37" t="n">
        <f aca="false">IF(B40&lt;=$D$6,C40*$D$5/12,0)</f>
        <v>622.409639847141</v>
      </c>
      <c r="F40" s="37" t="n">
        <f aca="false">IF(B40&lt;=$D$6,IF(B40=$D$6,C40,MIN($D$7-E40,C40)),0)</f>
        <v>1147.3889687571</v>
      </c>
      <c r="G40" s="37" t="n">
        <f aca="false">C40-F40</f>
        <v>81840.5630108618</v>
      </c>
    </row>
    <row r="41" customFormat="false" ht="15" hidden="false" customHeight="false" outlineLevel="0" collapsed="false">
      <c r="B41" s="56" t="n">
        <v>28</v>
      </c>
      <c r="C41" s="37" t="n">
        <f aca="false">G40</f>
        <v>81840.5630108618</v>
      </c>
      <c r="D41" s="37" t="n">
        <f aca="false">E41+F41</f>
        <v>1769.79860860424</v>
      </c>
      <c r="E41" s="37" t="n">
        <f aca="false">IF(B41&lt;=$D$6,C41*$D$5/12,0)</f>
        <v>613.804222581463</v>
      </c>
      <c r="F41" s="37" t="n">
        <f aca="false">IF(B41&lt;=$D$6,IF(B41=$D$6,C41,MIN($D$7-E41,C41)),0)</f>
        <v>1155.99438602278</v>
      </c>
      <c r="G41" s="37" t="n">
        <f aca="false">C41-F41</f>
        <v>80684.568624839</v>
      </c>
    </row>
    <row r="42" customFormat="false" ht="15" hidden="false" customHeight="false" outlineLevel="0" collapsed="false">
      <c r="B42" s="56" t="n">
        <v>29</v>
      </c>
      <c r="C42" s="37" t="n">
        <f aca="false">G41</f>
        <v>80684.568624839</v>
      </c>
      <c r="D42" s="37" t="n">
        <f aca="false">E42+F42</f>
        <v>1769.79860860424</v>
      </c>
      <c r="E42" s="37" t="n">
        <f aca="false">IF(B42&lt;=$D$6,C42*$D$5/12,0)</f>
        <v>605.134264686292</v>
      </c>
      <c r="F42" s="37" t="n">
        <f aca="false">IF(B42&lt;=$D$6,IF(B42=$D$6,C42,MIN($D$7-E42,C42)),0)</f>
        <v>1164.66434391795</v>
      </c>
      <c r="G42" s="37" t="n">
        <f aca="false">C42-F42</f>
        <v>79519.904280921</v>
      </c>
    </row>
    <row r="43" customFormat="false" ht="15" hidden="false" customHeight="false" outlineLevel="0" collapsed="false">
      <c r="B43" s="56" t="n">
        <v>30</v>
      </c>
      <c r="C43" s="37" t="n">
        <f aca="false">G42</f>
        <v>79519.904280921</v>
      </c>
      <c r="D43" s="37" t="n">
        <f aca="false">E43+F43</f>
        <v>1769.79860860424</v>
      </c>
      <c r="E43" s="37" t="n">
        <f aca="false">IF(B43&lt;=$D$6,C43*$D$5/12,0)</f>
        <v>596.399282106908</v>
      </c>
      <c r="F43" s="37" t="n">
        <f aca="false">IF(B43&lt;=$D$6,IF(B43=$D$6,C43,MIN($D$7-E43,C43)),0)</f>
        <v>1173.39932649733</v>
      </c>
      <c r="G43" s="37" t="n">
        <f aca="false">C43-F43</f>
        <v>78346.5049544237</v>
      </c>
    </row>
    <row r="44" customFormat="false" ht="15" hidden="false" customHeight="false" outlineLevel="0" collapsed="false">
      <c r="B44" s="56" t="n">
        <v>31</v>
      </c>
      <c r="C44" s="37" t="n">
        <f aca="false">G43</f>
        <v>78346.5049544237</v>
      </c>
      <c r="D44" s="37" t="n">
        <f aca="false">E44+F44</f>
        <v>1769.79860860424</v>
      </c>
      <c r="E44" s="37" t="n">
        <f aca="false">IF(B44&lt;=$D$6,C44*$D$5/12,0)</f>
        <v>587.598787158178</v>
      </c>
      <c r="F44" s="37" t="n">
        <f aca="false">IF(B44&lt;=$D$6,IF(B44=$D$6,C44,MIN($D$7-E44,C44)),0)</f>
        <v>1182.19982144606</v>
      </c>
      <c r="G44" s="37" t="n">
        <f aca="false">C44-F44</f>
        <v>77164.3051329776</v>
      </c>
    </row>
    <row r="45" customFormat="false" ht="15" hidden="false" customHeight="false" outlineLevel="0" collapsed="false">
      <c r="B45" s="56" t="n">
        <v>32</v>
      </c>
      <c r="C45" s="37" t="n">
        <f aca="false">G44</f>
        <v>77164.3051329776</v>
      </c>
      <c r="D45" s="37" t="n">
        <f aca="false">E45+F45</f>
        <v>1769.79860860424</v>
      </c>
      <c r="E45" s="37" t="n">
        <f aca="false">IF(B45&lt;=$D$6,C45*$D$5/12,0)</f>
        <v>578.732288497332</v>
      </c>
      <c r="F45" s="37" t="n">
        <f aca="false">IF(B45&lt;=$D$6,IF(B45=$D$6,C45,MIN($D$7-E45,C45)),0)</f>
        <v>1191.06632010691</v>
      </c>
      <c r="G45" s="37" t="n">
        <f aca="false">C45-F45</f>
        <v>75973.2388128707</v>
      </c>
    </row>
    <row r="46" customFormat="false" ht="15" hidden="false" customHeight="false" outlineLevel="0" collapsed="false">
      <c r="B46" s="56" t="n">
        <v>33</v>
      </c>
      <c r="C46" s="37" t="n">
        <f aca="false">G45</f>
        <v>75973.2388128707</v>
      </c>
      <c r="D46" s="37" t="n">
        <f aca="false">E46+F46</f>
        <v>1769.79860860424</v>
      </c>
      <c r="E46" s="37" t="n">
        <f aca="false">IF(B46&lt;=$D$6,C46*$D$5/12,0)</f>
        <v>569.79929109653</v>
      </c>
      <c r="F46" s="37" t="n">
        <f aca="false">IF(B46&lt;=$D$6,IF(B46=$D$6,C46,MIN($D$7-E46,C46)),0)</f>
        <v>1199.99931750771</v>
      </c>
      <c r="G46" s="37" t="n">
        <f aca="false">C46-F46</f>
        <v>74773.239495363</v>
      </c>
    </row>
    <row r="47" customFormat="false" ht="15" hidden="false" customHeight="false" outlineLevel="0" collapsed="false">
      <c r="B47" s="56" t="n">
        <v>34</v>
      </c>
      <c r="C47" s="37" t="n">
        <f aca="false">G46</f>
        <v>74773.239495363</v>
      </c>
      <c r="D47" s="37" t="n">
        <f aca="false">E47+F47</f>
        <v>1769.79860860424</v>
      </c>
      <c r="E47" s="37" t="n">
        <f aca="false">IF(B47&lt;=$D$6,C47*$D$5/12,0)</f>
        <v>560.799296215222</v>
      </c>
      <c r="F47" s="37" t="n">
        <f aca="false">IF(B47&lt;=$D$6,IF(B47=$D$6,C47,MIN($D$7-E47,C47)),0)</f>
        <v>1208.99931238902</v>
      </c>
      <c r="G47" s="37" t="n">
        <f aca="false">C47-F47</f>
        <v>73564.240182974</v>
      </c>
    </row>
    <row r="48" customFormat="false" ht="15" hidden="false" customHeight="false" outlineLevel="0" collapsed="false">
      <c r="B48" s="56" t="n">
        <v>35</v>
      </c>
      <c r="C48" s="37" t="n">
        <f aca="false">G47</f>
        <v>73564.240182974</v>
      </c>
      <c r="D48" s="37" t="n">
        <f aca="false">E48+F48</f>
        <v>1769.79860860424</v>
      </c>
      <c r="E48" s="37" t="n">
        <f aca="false">IF(B48&lt;=$D$6,C48*$D$5/12,0)</f>
        <v>551.731801372305</v>
      </c>
      <c r="F48" s="37" t="n">
        <f aca="false">IF(B48&lt;=$D$6,IF(B48=$D$6,C48,MIN($D$7-E48,C48)),0)</f>
        <v>1218.06680723194</v>
      </c>
      <c r="G48" s="37" t="n">
        <f aca="false">C48-F48</f>
        <v>72346.173375742</v>
      </c>
    </row>
    <row r="49" customFormat="false" ht="15" hidden="false" customHeight="false" outlineLevel="0" collapsed="false">
      <c r="B49" s="56" t="n">
        <v>36</v>
      </c>
      <c r="C49" s="37" t="n">
        <f aca="false">G48</f>
        <v>72346.173375742</v>
      </c>
      <c r="D49" s="37" t="n">
        <f aca="false">E49+F49</f>
        <v>1769.79860860424</v>
      </c>
      <c r="E49" s="37" t="n">
        <f aca="false">IF(B49&lt;=$D$6,C49*$D$5/12,0)</f>
        <v>542.596300318065</v>
      </c>
      <c r="F49" s="37" t="n">
        <f aca="false">IF(B49&lt;=$D$6,IF(B49=$D$6,C49,MIN($D$7-E49,C49)),0)</f>
        <v>1227.20230828618</v>
      </c>
      <c r="G49" s="37" t="n">
        <f aca="false">C49-F49</f>
        <v>71118.9710674559</v>
      </c>
    </row>
    <row r="50" customFormat="false" ht="15" hidden="false" customHeight="false" outlineLevel="0" collapsed="false">
      <c r="B50" s="56" t="n">
        <v>37</v>
      </c>
      <c r="C50" s="37" t="n">
        <f aca="false">G49</f>
        <v>71118.9710674559</v>
      </c>
      <c r="D50" s="37" t="n">
        <f aca="false">E50+F50</f>
        <v>1769.79860860424</v>
      </c>
      <c r="E50" s="37" t="n">
        <f aca="false">IF(B50&lt;=$D$6,C50*$D$5/12,0)</f>
        <v>533.392283005919</v>
      </c>
      <c r="F50" s="37" t="n">
        <f aca="false">IF(B50&lt;=$D$6,IF(B50=$D$6,C50,MIN($D$7-E50,C50)),0)</f>
        <v>1236.40632559832</v>
      </c>
      <c r="G50" s="37" t="n">
        <f aca="false">C50-F50</f>
        <v>69882.5647418576</v>
      </c>
    </row>
    <row r="51" customFormat="false" ht="15" hidden="false" customHeight="false" outlineLevel="0" collapsed="false">
      <c r="B51" s="56" t="n">
        <v>38</v>
      </c>
      <c r="C51" s="37" t="n">
        <f aca="false">G50</f>
        <v>69882.5647418576</v>
      </c>
      <c r="D51" s="37" t="n">
        <f aca="false">E51+F51</f>
        <v>1769.79860860424</v>
      </c>
      <c r="E51" s="37" t="n">
        <f aca="false">IF(B51&lt;=$D$6,C51*$D$5/12,0)</f>
        <v>524.119235563932</v>
      </c>
      <c r="F51" s="37" t="n">
        <f aca="false">IF(B51&lt;=$D$6,IF(B51=$D$6,C51,MIN($D$7-E51,C51)),0)</f>
        <v>1245.67937304031</v>
      </c>
      <c r="G51" s="37" t="n">
        <f aca="false">C51-F51</f>
        <v>68636.8853688172</v>
      </c>
    </row>
    <row r="52" customFormat="false" ht="15" hidden="false" customHeight="false" outlineLevel="0" collapsed="false">
      <c r="B52" s="56" t="n">
        <v>39</v>
      </c>
      <c r="C52" s="37" t="n">
        <f aca="false">G51</f>
        <v>68636.8853688172</v>
      </c>
      <c r="D52" s="37" t="n">
        <f aca="false">E52+F52</f>
        <v>1769.79860860424</v>
      </c>
      <c r="E52" s="37" t="n">
        <f aca="false">IF(B52&lt;=$D$6,C52*$D$5/12,0)</f>
        <v>514.776640266129</v>
      </c>
      <c r="F52" s="37" t="n">
        <f aca="false">IF(B52&lt;=$D$6,IF(B52=$D$6,C52,MIN($D$7-E52,C52)),0)</f>
        <v>1255.02196833811</v>
      </c>
      <c r="G52" s="37" t="n">
        <f aca="false">C52-F52</f>
        <v>67381.8634004791</v>
      </c>
    </row>
    <row r="53" customFormat="false" ht="15" hidden="false" customHeight="false" outlineLevel="0" collapsed="false">
      <c r="B53" s="56" t="n">
        <v>40</v>
      </c>
      <c r="C53" s="37" t="n">
        <f aca="false">G52</f>
        <v>67381.8634004791</v>
      </c>
      <c r="D53" s="37" t="n">
        <f aca="false">E53+F53</f>
        <v>1769.79860860424</v>
      </c>
      <c r="E53" s="37" t="n">
        <f aca="false">IF(B53&lt;=$D$6,C53*$D$5/12,0)</f>
        <v>505.363975503593</v>
      </c>
      <c r="F53" s="37" t="n">
        <f aca="false">IF(B53&lt;=$D$6,IF(B53=$D$6,C53,MIN($D$7-E53,C53)),0)</f>
        <v>1264.43463310065</v>
      </c>
      <c r="G53" s="37" t="n">
        <f aca="false">C53-F53</f>
        <v>66117.4287673785</v>
      </c>
    </row>
    <row r="54" customFormat="false" ht="15" hidden="false" customHeight="false" outlineLevel="0" collapsed="false">
      <c r="B54" s="56" t="n">
        <v>41</v>
      </c>
      <c r="C54" s="37" t="n">
        <f aca="false">G53</f>
        <v>66117.4287673785</v>
      </c>
      <c r="D54" s="37" t="n">
        <f aca="false">E54+F54</f>
        <v>1769.79860860424</v>
      </c>
      <c r="E54" s="37" t="n">
        <f aca="false">IF(B54&lt;=$D$6,C54*$D$5/12,0)</f>
        <v>495.880715755339</v>
      </c>
      <c r="F54" s="37" t="n">
        <f aca="false">IF(B54&lt;=$D$6,IF(B54=$D$6,C54,MIN($D$7-E54,C54)),0)</f>
        <v>1273.9178928489</v>
      </c>
      <c r="G54" s="37" t="n">
        <f aca="false">C54-F54</f>
        <v>64843.5108745296</v>
      </c>
    </row>
    <row r="55" customFormat="false" ht="15" hidden="false" customHeight="false" outlineLevel="0" collapsed="false">
      <c r="B55" s="56" t="n">
        <v>42</v>
      </c>
      <c r="C55" s="37" t="n">
        <f aca="false">G54</f>
        <v>64843.5108745296</v>
      </c>
      <c r="D55" s="37" t="n">
        <f aca="false">E55+F55</f>
        <v>1769.79860860424</v>
      </c>
      <c r="E55" s="37" t="n">
        <f aca="false">IF(B55&lt;=$D$6,C55*$D$5/12,0)</f>
        <v>486.326331558972</v>
      </c>
      <c r="F55" s="37" t="n">
        <f aca="false">IF(B55&lt;=$D$6,IF(B55=$D$6,C55,MIN($D$7-E55,C55)),0)</f>
        <v>1283.47227704527</v>
      </c>
      <c r="G55" s="37" t="n">
        <f aca="false">C55-F55</f>
        <v>63560.0385974843</v>
      </c>
    </row>
    <row r="56" customFormat="false" ht="15" hidden="false" customHeight="false" outlineLevel="0" collapsed="false">
      <c r="B56" s="56" t="n">
        <v>43</v>
      </c>
      <c r="C56" s="37" t="n">
        <f aca="false">G55</f>
        <v>63560.0385974843</v>
      </c>
      <c r="D56" s="37" t="n">
        <f aca="false">E56+F56</f>
        <v>1769.79860860424</v>
      </c>
      <c r="E56" s="37" t="n">
        <f aca="false">IF(B56&lt;=$D$6,C56*$D$5/12,0)</f>
        <v>476.700289481132</v>
      </c>
      <c r="F56" s="37" t="n">
        <f aca="false">IF(B56&lt;=$D$6,IF(B56=$D$6,C56,MIN($D$7-E56,C56)),0)</f>
        <v>1293.09831912311</v>
      </c>
      <c r="G56" s="37" t="n">
        <f aca="false">C56-F56</f>
        <v>62266.9402783612</v>
      </c>
    </row>
    <row r="57" customFormat="false" ht="15" hidden="false" customHeight="false" outlineLevel="0" collapsed="false">
      <c r="B57" s="56" t="n">
        <v>44</v>
      </c>
      <c r="C57" s="37" t="n">
        <f aca="false">G56</f>
        <v>62266.9402783612</v>
      </c>
      <c r="D57" s="37" t="n">
        <f aca="false">E57+F57</f>
        <v>1769.79860860424</v>
      </c>
      <c r="E57" s="37" t="n">
        <f aca="false">IF(B57&lt;=$D$6,C57*$D$5/12,0)</f>
        <v>467.002052087709</v>
      </c>
      <c r="F57" s="37" t="n">
        <f aca="false">IF(B57&lt;=$D$6,IF(B57=$D$6,C57,MIN($D$7-E57,C57)),0)</f>
        <v>1302.79655651653</v>
      </c>
      <c r="G57" s="37" t="n">
        <f aca="false">C57-F57</f>
        <v>60964.1437218447</v>
      </c>
    </row>
    <row r="58" customFormat="false" ht="15" hidden="false" customHeight="false" outlineLevel="0" collapsed="false">
      <c r="B58" s="56" t="n">
        <v>45</v>
      </c>
      <c r="C58" s="37" t="n">
        <f aca="false">G57</f>
        <v>60964.1437218447</v>
      </c>
      <c r="D58" s="37" t="n">
        <f aca="false">E58+F58</f>
        <v>1769.79860860424</v>
      </c>
      <c r="E58" s="37" t="n">
        <f aca="false">IF(B58&lt;=$D$6,C58*$D$5/12,0)</f>
        <v>457.231077913835</v>
      </c>
      <c r="F58" s="37" t="n">
        <f aca="false">IF(B58&lt;=$D$6,IF(B58=$D$6,C58,MIN($D$7-E58,C58)),0)</f>
        <v>1312.56753069041</v>
      </c>
      <c r="G58" s="37" t="n">
        <f aca="false">C58-F58</f>
        <v>59651.5761911543</v>
      </c>
    </row>
    <row r="59" customFormat="false" ht="15" hidden="false" customHeight="false" outlineLevel="0" collapsed="false">
      <c r="B59" s="56" t="n">
        <v>46</v>
      </c>
      <c r="C59" s="37" t="n">
        <f aca="false">G58</f>
        <v>59651.5761911543</v>
      </c>
      <c r="D59" s="37" t="n">
        <f aca="false">E59+F59</f>
        <v>1769.79860860424</v>
      </c>
      <c r="E59" s="37" t="n">
        <f aca="false">IF(B59&lt;=$D$6,C59*$D$5/12,0)</f>
        <v>447.386821433657</v>
      </c>
      <c r="F59" s="37" t="n">
        <f aca="false">IF(B59&lt;=$D$6,IF(B59=$D$6,C59,MIN($D$7-E59,C59)),0)</f>
        <v>1322.41178717058</v>
      </c>
      <c r="G59" s="37" t="n">
        <f aca="false">C59-F59</f>
        <v>58329.1644039837</v>
      </c>
    </row>
    <row r="60" customFormat="false" ht="15" hidden="false" customHeight="false" outlineLevel="0" collapsed="false">
      <c r="B60" s="56" t="n">
        <v>47</v>
      </c>
      <c r="C60" s="37" t="n">
        <f aca="false">G59</f>
        <v>58329.1644039837</v>
      </c>
      <c r="D60" s="37" t="n">
        <f aca="false">E60+F60</f>
        <v>1769.79860860424</v>
      </c>
      <c r="E60" s="37" t="n">
        <f aca="false">IF(B60&lt;=$D$6,C60*$D$5/12,0)</f>
        <v>437.468733029878</v>
      </c>
      <c r="F60" s="37" t="n">
        <f aca="false">IF(B60&lt;=$D$6,IF(B60=$D$6,C60,MIN($D$7-E60,C60)),0)</f>
        <v>1332.32987557436</v>
      </c>
      <c r="G60" s="37" t="n">
        <f aca="false">C60-F60</f>
        <v>56996.8345284093</v>
      </c>
    </row>
    <row r="61" customFormat="false" ht="15" hidden="false" customHeight="false" outlineLevel="0" collapsed="false">
      <c r="B61" s="56" t="n">
        <v>48</v>
      </c>
      <c r="C61" s="37" t="n">
        <f aca="false">G60</f>
        <v>56996.8345284093</v>
      </c>
      <c r="D61" s="37" t="n">
        <f aca="false">E61+F61</f>
        <v>1769.79860860424</v>
      </c>
      <c r="E61" s="37" t="n">
        <f aca="false">IF(B61&lt;=$D$6,C61*$D$5/12,0)</f>
        <v>427.47625896307</v>
      </c>
      <c r="F61" s="37" t="n">
        <f aca="false">IF(B61&lt;=$D$6,IF(B61=$D$6,C61,MIN($D$7-E61,C61)),0)</f>
        <v>1342.32234964117</v>
      </c>
      <c r="G61" s="37" t="n">
        <f aca="false">C61-F61</f>
        <v>55654.5121787681</v>
      </c>
    </row>
    <row r="62" customFormat="false" ht="15" hidden="false" customHeight="false" outlineLevel="0" collapsed="false">
      <c r="B62" s="56" t="n">
        <v>49</v>
      </c>
      <c r="C62" s="37" t="n">
        <f aca="false">G61</f>
        <v>55654.5121787681</v>
      </c>
      <c r="D62" s="37" t="n">
        <f aca="false">E62+F62</f>
        <v>1769.79860860424</v>
      </c>
      <c r="E62" s="37" t="n">
        <f aca="false">IF(B62&lt;=$D$6,C62*$D$5/12,0)</f>
        <v>417.408841340761</v>
      </c>
      <c r="F62" s="37" t="n">
        <f aca="false">IF(B62&lt;=$D$6,IF(B62=$D$6,C62,MIN($D$7-E62,C62)),0)</f>
        <v>1352.38976726348</v>
      </c>
      <c r="G62" s="37" t="n">
        <f aca="false">C62-F62</f>
        <v>54302.1224115047</v>
      </c>
    </row>
    <row r="63" customFormat="false" ht="15" hidden="false" customHeight="false" outlineLevel="0" collapsed="false">
      <c r="B63" s="56" t="n">
        <v>50</v>
      </c>
      <c r="C63" s="37" t="n">
        <f aca="false">G62</f>
        <v>54302.1224115047</v>
      </c>
      <c r="D63" s="37" t="n">
        <f aca="false">E63+F63</f>
        <v>1769.79860860424</v>
      </c>
      <c r="E63" s="37" t="n">
        <f aca="false">IF(B63&lt;=$D$6,C63*$D$5/12,0)</f>
        <v>407.265918086285</v>
      </c>
      <c r="F63" s="37" t="n">
        <f aca="false">IF(B63&lt;=$D$6,IF(B63=$D$6,C63,MIN($D$7-E63,C63)),0)</f>
        <v>1362.53269051796</v>
      </c>
      <c r="G63" s="37" t="n">
        <f aca="false">C63-F63</f>
        <v>52939.5897209867</v>
      </c>
    </row>
    <row r="64" customFormat="false" ht="15" hidden="false" customHeight="false" outlineLevel="0" collapsed="false">
      <c r="B64" s="56" t="n">
        <v>51</v>
      </c>
      <c r="C64" s="37" t="n">
        <f aca="false">G63</f>
        <v>52939.5897209867</v>
      </c>
      <c r="D64" s="37" t="n">
        <f aca="false">E64+F64</f>
        <v>1769.79860860424</v>
      </c>
      <c r="E64" s="37" t="n">
        <f aca="false">IF(B64&lt;=$D$6,C64*$D$5/12,0)</f>
        <v>397.0469229074</v>
      </c>
      <c r="F64" s="37" t="n">
        <f aca="false">IF(B64&lt;=$D$6,IF(B64=$D$6,C64,MIN($D$7-E64,C64)),0)</f>
        <v>1372.75168569684</v>
      </c>
      <c r="G64" s="37" t="n">
        <f aca="false">C64-F64</f>
        <v>51566.8380352899</v>
      </c>
    </row>
    <row r="65" customFormat="false" ht="15" hidden="false" customHeight="false" outlineLevel="0" collapsed="false">
      <c r="B65" s="56" t="n">
        <v>52</v>
      </c>
      <c r="C65" s="37" t="n">
        <f aca="false">G64</f>
        <v>51566.8380352899</v>
      </c>
      <c r="D65" s="37" t="n">
        <f aca="false">E65+F65</f>
        <v>1769.79860860424</v>
      </c>
      <c r="E65" s="37" t="n">
        <f aca="false">IF(B65&lt;=$D$6,C65*$D$5/12,0)</f>
        <v>386.751285264674</v>
      </c>
      <c r="F65" s="37" t="n">
        <f aca="false">IF(B65&lt;=$D$6,IF(B65=$D$6,C65,MIN($D$7-E65,C65)),0)</f>
        <v>1383.04732333957</v>
      </c>
      <c r="G65" s="37" t="n">
        <f aca="false">C65-F65</f>
        <v>50183.7907119503</v>
      </c>
    </row>
    <row r="66" customFormat="false" ht="15" hidden="false" customHeight="false" outlineLevel="0" collapsed="false">
      <c r="B66" s="56" t="n">
        <v>53</v>
      </c>
      <c r="C66" s="37" t="n">
        <f aca="false">G65</f>
        <v>50183.7907119503</v>
      </c>
      <c r="D66" s="37" t="n">
        <f aca="false">E66+F66</f>
        <v>1769.79860860424</v>
      </c>
      <c r="E66" s="37" t="n">
        <f aca="false">IF(B66&lt;=$D$6,C66*$D$5/12,0)</f>
        <v>376.378430339627</v>
      </c>
      <c r="F66" s="37" t="n">
        <f aca="false">IF(B66&lt;=$D$6,IF(B66=$D$6,C66,MIN($D$7-E66,C66)),0)</f>
        <v>1393.42017826461</v>
      </c>
      <c r="G66" s="37" t="n">
        <f aca="false">C66-F66</f>
        <v>48790.3705336857</v>
      </c>
    </row>
    <row r="67" customFormat="false" ht="15" hidden="false" customHeight="false" outlineLevel="0" collapsed="false">
      <c r="B67" s="56" t="n">
        <v>54</v>
      </c>
      <c r="C67" s="37" t="n">
        <f aca="false">G66</f>
        <v>48790.3705336857</v>
      </c>
      <c r="D67" s="37" t="n">
        <f aca="false">E67+F67</f>
        <v>1769.79860860424</v>
      </c>
      <c r="E67" s="37" t="n">
        <f aca="false">IF(B67&lt;=$D$6,C67*$D$5/12,0)</f>
        <v>365.927779002643</v>
      </c>
      <c r="F67" s="37" t="n">
        <f aca="false">IF(B67&lt;=$D$6,IF(B67=$D$6,C67,MIN($D$7-E67,C67)),0)</f>
        <v>1403.8708296016</v>
      </c>
      <c r="G67" s="37" t="n">
        <f aca="false">C67-F67</f>
        <v>47386.4997040841</v>
      </c>
    </row>
    <row r="68" customFormat="false" ht="15" hidden="false" customHeight="false" outlineLevel="0" collapsed="false">
      <c r="B68" s="56" t="n">
        <v>55</v>
      </c>
      <c r="C68" s="37" t="n">
        <f aca="false">G67</f>
        <v>47386.4997040841</v>
      </c>
      <c r="D68" s="37" t="n">
        <f aca="false">E68+F68</f>
        <v>1769.79860860424</v>
      </c>
      <c r="E68" s="37" t="n">
        <f aca="false">IF(B68&lt;=$D$6,C68*$D$5/12,0)</f>
        <v>355.398747780631</v>
      </c>
      <c r="F68" s="37" t="n">
        <f aca="false">IF(B68&lt;=$D$6,IF(B68=$D$6,C68,MIN($D$7-E68,C68)),0)</f>
        <v>1414.39986082361</v>
      </c>
      <c r="G68" s="37" t="n">
        <f aca="false">C68-F68</f>
        <v>45972.0998432605</v>
      </c>
    </row>
    <row r="69" customFormat="false" ht="15" hidden="false" customHeight="false" outlineLevel="0" collapsed="false">
      <c r="B69" s="56" t="n">
        <v>56</v>
      </c>
      <c r="C69" s="37" t="n">
        <f aca="false">G68</f>
        <v>45972.0998432605</v>
      </c>
      <c r="D69" s="37" t="n">
        <f aca="false">E69+F69</f>
        <v>1769.79860860424</v>
      </c>
      <c r="E69" s="37" t="n">
        <f aca="false">IF(B69&lt;=$D$6,C69*$D$5/12,0)</f>
        <v>344.790748824454</v>
      </c>
      <c r="F69" s="37" t="n">
        <f aca="false">IF(B69&lt;=$D$6,IF(B69=$D$6,C69,MIN($D$7-E69,C69)),0)</f>
        <v>1425.00785977979</v>
      </c>
      <c r="G69" s="37" t="n">
        <f aca="false">C69-F69</f>
        <v>44547.0919834807</v>
      </c>
    </row>
    <row r="70" customFormat="false" ht="15" hidden="false" customHeight="false" outlineLevel="0" collapsed="false">
      <c r="B70" s="56" t="n">
        <v>57</v>
      </c>
      <c r="C70" s="37" t="n">
        <f aca="false">G69</f>
        <v>44547.0919834807</v>
      </c>
      <c r="D70" s="37" t="n">
        <f aca="false">E70+F70</f>
        <v>1769.79860860424</v>
      </c>
      <c r="E70" s="37" t="n">
        <f aca="false">IF(B70&lt;=$D$6,C70*$D$5/12,0)</f>
        <v>334.103189876105</v>
      </c>
      <c r="F70" s="37" t="n">
        <f aca="false">IF(B70&lt;=$D$6,IF(B70=$D$6,C70,MIN($D$7-E70,C70)),0)</f>
        <v>1435.69541872814</v>
      </c>
      <c r="G70" s="37" t="n">
        <f aca="false">C70-F70</f>
        <v>43111.3965647526</v>
      </c>
    </row>
    <row r="71" customFormat="false" ht="15" hidden="false" customHeight="false" outlineLevel="0" collapsed="false">
      <c r="B71" s="56" t="n">
        <v>58</v>
      </c>
      <c r="C71" s="37" t="n">
        <f aca="false">G70</f>
        <v>43111.3965647526</v>
      </c>
      <c r="D71" s="37" t="n">
        <f aca="false">E71+F71</f>
        <v>1769.79860860424</v>
      </c>
      <c r="E71" s="37" t="n">
        <f aca="false">IF(B71&lt;=$D$6,C71*$D$5/12,0)</f>
        <v>323.335474235644</v>
      </c>
      <c r="F71" s="37" t="n">
        <f aca="false">IF(B71&lt;=$D$6,IF(B71=$D$6,C71,MIN($D$7-E71,C71)),0)</f>
        <v>1446.4631343686</v>
      </c>
      <c r="G71" s="37" t="n">
        <f aca="false">C71-F71</f>
        <v>41664.933430384</v>
      </c>
    </row>
    <row r="72" customFormat="false" ht="15" hidden="false" customHeight="false" outlineLevel="0" collapsed="false">
      <c r="B72" s="56" t="n">
        <v>59</v>
      </c>
      <c r="C72" s="37" t="n">
        <f aca="false">G71</f>
        <v>41664.933430384</v>
      </c>
      <c r="D72" s="37" t="n">
        <f aca="false">E72+F72</f>
        <v>1769.79860860424</v>
      </c>
      <c r="E72" s="37" t="n">
        <f aca="false">IF(B72&lt;=$D$6,C72*$D$5/12,0)</f>
        <v>312.48700072788</v>
      </c>
      <c r="F72" s="37" t="n">
        <f aca="false">IF(B72&lt;=$D$6,IF(B72=$D$6,C72,MIN($D$7-E72,C72)),0)</f>
        <v>1457.31160787636</v>
      </c>
      <c r="G72" s="37" t="n">
        <f aca="false">C72-F72</f>
        <v>40207.6218225076</v>
      </c>
    </row>
    <row r="73" customFormat="false" ht="15" hidden="false" customHeight="false" outlineLevel="0" collapsed="false">
      <c r="B73" s="56" t="n">
        <v>60</v>
      </c>
      <c r="C73" s="37" t="n">
        <f aca="false">G72</f>
        <v>40207.6218225076</v>
      </c>
      <c r="D73" s="37" t="n">
        <f aca="false">E73+F73</f>
        <v>1769.79860860424</v>
      </c>
      <c r="E73" s="37" t="n">
        <f aca="false">IF(B73&lt;=$D$6,C73*$D$5/12,0)</f>
        <v>301.557163668807</v>
      </c>
      <c r="F73" s="37" t="n">
        <f aca="false">IF(B73&lt;=$D$6,IF(B73=$D$6,C73,MIN($D$7-E73,C73)),0)</f>
        <v>1468.24144493543</v>
      </c>
      <c r="G73" s="37" t="n">
        <f aca="false">C73-F73</f>
        <v>38739.3803775722</v>
      </c>
    </row>
    <row r="74" customFormat="false" ht="15" hidden="false" customHeight="false" outlineLevel="0" collapsed="false">
      <c r="B74" s="56" t="n">
        <v>61</v>
      </c>
      <c r="C74" s="37" t="n">
        <f aca="false">G73</f>
        <v>38739.3803775722</v>
      </c>
      <c r="D74" s="37" t="n">
        <f aca="false">E74+F74</f>
        <v>1769.79860860424</v>
      </c>
      <c r="E74" s="37" t="n">
        <f aca="false">IF(B74&lt;=$D$6,C74*$D$5/12,0)</f>
        <v>290.545352831791</v>
      </c>
      <c r="F74" s="37" t="n">
        <f aca="false">IF(B74&lt;=$D$6,IF(B74=$D$6,C74,MIN($D$7-E74,C74)),0)</f>
        <v>1479.25325577245</v>
      </c>
      <c r="G74" s="37" t="n">
        <f aca="false">C74-F74</f>
        <v>37260.1271217997</v>
      </c>
    </row>
    <row r="75" customFormat="false" ht="15" hidden="false" customHeight="false" outlineLevel="0" collapsed="false">
      <c r="B75" s="56" t="n">
        <v>62</v>
      </c>
      <c r="C75" s="37" t="n">
        <f aca="false">G74</f>
        <v>37260.1271217997</v>
      </c>
      <c r="D75" s="37" t="n">
        <f aca="false">E75+F75</f>
        <v>1769.79860860424</v>
      </c>
      <c r="E75" s="37" t="n">
        <f aca="false">IF(B75&lt;=$D$6,C75*$D$5/12,0)</f>
        <v>279.450953413498</v>
      </c>
      <c r="F75" s="37" t="n">
        <f aca="false">IF(B75&lt;=$D$6,IF(B75=$D$6,C75,MIN($D$7-E75,C75)),0)</f>
        <v>1490.34765519074</v>
      </c>
      <c r="G75" s="37" t="n">
        <f aca="false">C75-F75</f>
        <v>35769.779466609</v>
      </c>
    </row>
    <row r="76" customFormat="false" ht="15" hidden="false" customHeight="false" outlineLevel="0" collapsed="false">
      <c r="B76" s="56" t="n">
        <v>63</v>
      </c>
      <c r="C76" s="37" t="n">
        <f aca="false">G75</f>
        <v>35769.779466609</v>
      </c>
      <c r="D76" s="37" t="n">
        <f aca="false">E76+F76</f>
        <v>1769.79860860424</v>
      </c>
      <c r="E76" s="37" t="n">
        <f aca="false">IF(B76&lt;=$D$6,C76*$D$5/12,0)</f>
        <v>268.273345999567</v>
      </c>
      <c r="F76" s="37" t="n">
        <f aca="false">IF(B76&lt;=$D$6,IF(B76=$D$6,C76,MIN($D$7-E76,C76)),0)</f>
        <v>1501.52526260467</v>
      </c>
      <c r="G76" s="37" t="n">
        <f aca="false">C76-F76</f>
        <v>34268.2542040043</v>
      </c>
    </row>
    <row r="77" customFormat="false" ht="15" hidden="false" customHeight="false" outlineLevel="0" collapsed="false">
      <c r="B77" s="56" t="n">
        <v>64</v>
      </c>
      <c r="C77" s="37" t="n">
        <f aca="false">G76</f>
        <v>34268.2542040043</v>
      </c>
      <c r="D77" s="37" t="n">
        <f aca="false">E77+F77</f>
        <v>1769.79860860424</v>
      </c>
      <c r="E77" s="37" t="n">
        <f aca="false">IF(B77&lt;=$D$6,C77*$D$5/12,0)</f>
        <v>257.011906530032</v>
      </c>
      <c r="F77" s="37" t="n">
        <f aca="false">IF(B77&lt;=$D$6,IF(B77=$D$6,C77,MIN($D$7-E77,C77)),0)</f>
        <v>1512.78670207421</v>
      </c>
      <c r="G77" s="37" t="n">
        <f aca="false">C77-F77</f>
        <v>32755.4675019301</v>
      </c>
    </row>
    <row r="78" customFormat="false" ht="15" hidden="false" customHeight="false" outlineLevel="0" collapsed="false">
      <c r="B78" s="56" t="n">
        <v>65</v>
      </c>
      <c r="C78" s="37" t="n">
        <f aca="false">G77</f>
        <v>32755.4675019301</v>
      </c>
      <c r="D78" s="37" t="n">
        <f aca="false">E78+F78</f>
        <v>1769.79860860424</v>
      </c>
      <c r="E78" s="37" t="n">
        <f aca="false">IF(B78&lt;=$D$6,C78*$D$5/12,0)</f>
        <v>245.666006264476</v>
      </c>
      <c r="F78" s="37" t="n">
        <f aca="false">IF(B78&lt;=$D$6,IF(B78=$D$6,C78,MIN($D$7-E78,C78)),0)</f>
        <v>1524.13260233977</v>
      </c>
      <c r="G78" s="37" t="n">
        <f aca="false">C78-F78</f>
        <v>31231.3348995903</v>
      </c>
    </row>
    <row r="79" customFormat="false" ht="15" hidden="false" customHeight="false" outlineLevel="0" collapsed="false">
      <c r="B79" s="56" t="n">
        <v>66</v>
      </c>
      <c r="C79" s="37" t="n">
        <f aca="false">G78</f>
        <v>31231.3348995903</v>
      </c>
      <c r="D79" s="37" t="n">
        <f aca="false">E79+F79</f>
        <v>1769.79860860424</v>
      </c>
      <c r="E79" s="37" t="n">
        <f aca="false">IF(B79&lt;=$D$6,C79*$D$5/12,0)</f>
        <v>234.235011746927</v>
      </c>
      <c r="F79" s="37" t="n">
        <f aca="false">IF(B79&lt;=$D$6,IF(B79=$D$6,C79,MIN($D$7-E79,C79)),0)</f>
        <v>1535.56359685731</v>
      </c>
      <c r="G79" s="37" t="n">
        <f aca="false">C79-F79</f>
        <v>29695.771302733</v>
      </c>
    </row>
    <row r="80" customFormat="false" ht="15" hidden="false" customHeight="false" outlineLevel="0" collapsed="false">
      <c r="B80" s="56" t="n">
        <v>67</v>
      </c>
      <c r="C80" s="37" t="n">
        <f aca="false">G79</f>
        <v>29695.771302733</v>
      </c>
      <c r="D80" s="37" t="n">
        <f aca="false">E80+F80</f>
        <v>1769.79860860424</v>
      </c>
      <c r="E80" s="37" t="n">
        <f aca="false">IF(B80&lt;=$D$6,C80*$D$5/12,0)</f>
        <v>222.718284770498</v>
      </c>
      <c r="F80" s="37" t="n">
        <f aca="false">IF(B80&lt;=$D$6,IF(B80=$D$6,C80,MIN($D$7-E80,C80)),0)</f>
        <v>1547.08032383374</v>
      </c>
      <c r="G80" s="37" t="n">
        <f aca="false">C80-F80</f>
        <v>28148.6909788993</v>
      </c>
    </row>
    <row r="81" customFormat="false" ht="15" hidden="false" customHeight="false" outlineLevel="0" collapsed="false">
      <c r="B81" s="56" t="n">
        <v>68</v>
      </c>
      <c r="C81" s="37" t="n">
        <f aca="false">G80</f>
        <v>28148.6909788993</v>
      </c>
      <c r="D81" s="37" t="n">
        <f aca="false">E81+F81</f>
        <v>1769.79860860424</v>
      </c>
      <c r="E81" s="37" t="n">
        <f aca="false">IF(B81&lt;=$D$6,C81*$D$5/12,0)</f>
        <v>211.115182341745</v>
      </c>
      <c r="F81" s="37" t="n">
        <f aca="false">IF(B81&lt;=$D$6,IF(B81=$D$6,C81,MIN($D$7-E81,C81)),0)</f>
        <v>1558.6834262625</v>
      </c>
      <c r="G81" s="37" t="n">
        <f aca="false">C81-F81</f>
        <v>26590.0075526368</v>
      </c>
    </row>
    <row r="82" customFormat="false" ht="15" hidden="false" customHeight="false" outlineLevel="0" collapsed="false">
      <c r="B82" s="56" t="n">
        <v>69</v>
      </c>
      <c r="C82" s="37" t="n">
        <f aca="false">G81</f>
        <v>26590.0075526368</v>
      </c>
      <c r="D82" s="37" t="n">
        <f aca="false">E82+F82</f>
        <v>1769.79860860424</v>
      </c>
      <c r="E82" s="37" t="n">
        <f aca="false">IF(B82&lt;=$D$6,C82*$D$5/12,0)</f>
        <v>199.425056644776</v>
      </c>
      <c r="F82" s="37" t="n">
        <f aca="false">IF(B82&lt;=$D$6,IF(B82=$D$6,C82,MIN($D$7-E82,C82)),0)</f>
        <v>1570.37355195947</v>
      </c>
      <c r="G82" s="37" t="n">
        <f aca="false">C82-F82</f>
        <v>25019.6340006773</v>
      </c>
    </row>
    <row r="83" customFormat="false" ht="15" hidden="false" customHeight="false" outlineLevel="0" collapsed="false">
      <c r="B83" s="56" t="n">
        <v>70</v>
      </c>
      <c r="C83" s="37" t="n">
        <f aca="false">G82</f>
        <v>25019.6340006773</v>
      </c>
      <c r="D83" s="37" t="n">
        <f aca="false">E83+F83</f>
        <v>1769.79860860424</v>
      </c>
      <c r="E83" s="37" t="n">
        <f aca="false">IF(B83&lt;=$D$6,C83*$D$5/12,0)</f>
        <v>187.64725500508</v>
      </c>
      <c r="F83" s="37" t="n">
        <f aca="false">IF(B83&lt;=$D$6,IF(B83=$D$6,C83,MIN($D$7-E83,C83)),0)</f>
        <v>1582.15135359916</v>
      </c>
      <c r="G83" s="37" t="n">
        <f aca="false">C83-F83</f>
        <v>23437.4826470781</v>
      </c>
    </row>
    <row r="84" customFormat="false" ht="15" hidden="false" customHeight="false" outlineLevel="0" collapsed="false">
      <c r="B84" s="56" t="n">
        <v>71</v>
      </c>
      <c r="C84" s="37" t="n">
        <f aca="false">G83</f>
        <v>23437.4826470781</v>
      </c>
      <c r="D84" s="37" t="n">
        <f aca="false">E84+F84</f>
        <v>1769.79860860424</v>
      </c>
      <c r="E84" s="37" t="n">
        <f aca="false">IF(B84&lt;=$D$6,C84*$D$5/12,0)</f>
        <v>175.781119853086</v>
      </c>
      <c r="F84" s="37" t="n">
        <f aca="false">IF(B84&lt;=$D$6,IF(B84=$D$6,C84,MIN($D$7-E84,C84)),0)</f>
        <v>1594.01748875115</v>
      </c>
      <c r="G84" s="37" t="n">
        <f aca="false">C84-F84</f>
        <v>21843.465158327</v>
      </c>
    </row>
    <row r="85" customFormat="false" ht="15" hidden="false" customHeight="false" outlineLevel="0" collapsed="false">
      <c r="B85" s="56" t="n">
        <v>72</v>
      </c>
      <c r="C85" s="37" t="n">
        <f aca="false">G84</f>
        <v>21843.465158327</v>
      </c>
      <c r="D85" s="37" t="n">
        <f aca="false">E85+F85</f>
        <v>1769.79860860424</v>
      </c>
      <c r="E85" s="37" t="n">
        <f aca="false">IF(B85&lt;=$D$6,C85*$D$5/12,0)</f>
        <v>163.825988687452</v>
      </c>
      <c r="F85" s="37" t="n">
        <f aca="false">IF(B85&lt;=$D$6,IF(B85=$D$6,C85,MIN($D$7-E85,C85)),0)</f>
        <v>1605.97261991679</v>
      </c>
      <c r="G85" s="37" t="n">
        <f aca="false">C85-F85</f>
        <v>20237.4925384102</v>
      </c>
    </row>
    <row r="86" customFormat="false" ht="15" hidden="false" customHeight="false" outlineLevel="0" collapsed="false">
      <c r="B86" s="56" t="n">
        <v>73</v>
      </c>
      <c r="C86" s="37" t="n">
        <f aca="false">G85</f>
        <v>20237.4925384102</v>
      </c>
      <c r="D86" s="37" t="n">
        <f aca="false">E86+F86</f>
        <v>1769.79860860424</v>
      </c>
      <c r="E86" s="37" t="n">
        <f aca="false">IF(B86&lt;=$D$6,C86*$D$5/12,0)</f>
        <v>151.781194038076</v>
      </c>
      <c r="F86" s="37" t="n">
        <f aca="false">IF(B86&lt;=$D$6,IF(B86=$D$6,C86,MIN($D$7-E86,C86)),0)</f>
        <v>1618.01741456616</v>
      </c>
      <c r="G86" s="37" t="n">
        <f aca="false">C86-F86</f>
        <v>18619.475123844</v>
      </c>
    </row>
    <row r="87" customFormat="false" ht="15" hidden="false" customHeight="false" outlineLevel="0" collapsed="false">
      <c r="B87" s="56" t="n">
        <v>74</v>
      </c>
      <c r="C87" s="37" t="n">
        <f aca="false">G86</f>
        <v>18619.475123844</v>
      </c>
      <c r="D87" s="37" t="n">
        <f aca="false">E87+F87</f>
        <v>1769.79860860424</v>
      </c>
      <c r="E87" s="37" t="n">
        <f aca="false">IF(B87&lt;=$D$6,C87*$D$5/12,0)</f>
        <v>139.64606342883</v>
      </c>
      <c r="F87" s="37" t="n">
        <f aca="false">IF(B87&lt;=$D$6,IF(B87=$D$6,C87,MIN($D$7-E87,C87)),0)</f>
        <v>1630.15254517541</v>
      </c>
      <c r="G87" s="37" t="n">
        <f aca="false">C87-F87</f>
        <v>16989.3225786686</v>
      </c>
    </row>
    <row r="88" customFormat="false" ht="15" hidden="false" customHeight="false" outlineLevel="0" collapsed="false">
      <c r="B88" s="56" t="n">
        <v>75</v>
      </c>
      <c r="C88" s="37" t="n">
        <f aca="false">G87</f>
        <v>16989.3225786686</v>
      </c>
      <c r="D88" s="37" t="n">
        <f aca="false">E88+F88</f>
        <v>1769.79860860424</v>
      </c>
      <c r="E88" s="37" t="n">
        <f aca="false">IF(B88&lt;=$D$6,C88*$D$5/12,0)</f>
        <v>127.419919340015</v>
      </c>
      <c r="F88" s="37" t="n">
        <f aca="false">IF(B88&lt;=$D$6,IF(B88=$D$6,C88,MIN($D$7-E88,C88)),0)</f>
        <v>1642.37868926423</v>
      </c>
      <c r="G88" s="37" t="n">
        <f aca="false">C88-F88</f>
        <v>15346.9438894044</v>
      </c>
    </row>
    <row r="89" customFormat="false" ht="15" hidden="false" customHeight="false" outlineLevel="0" collapsed="false">
      <c r="B89" s="56" t="n">
        <v>76</v>
      </c>
      <c r="C89" s="37" t="n">
        <f aca="false">G88</f>
        <v>15346.9438894044</v>
      </c>
      <c r="D89" s="37" t="n">
        <f aca="false">E89+F89</f>
        <v>1769.79860860424</v>
      </c>
      <c r="E89" s="37" t="n">
        <f aca="false">IF(B89&lt;=$D$6,C89*$D$5/12,0)</f>
        <v>115.102079170533</v>
      </c>
      <c r="F89" s="37" t="n">
        <f aca="false">IF(B89&lt;=$D$6,IF(B89=$D$6,C89,MIN($D$7-E89,C89)),0)</f>
        <v>1654.69652943371</v>
      </c>
      <c r="G89" s="37" t="n">
        <f aca="false">C89-F89</f>
        <v>13692.2473599707</v>
      </c>
    </row>
    <row r="90" customFormat="false" ht="15" hidden="false" customHeight="false" outlineLevel="0" collapsed="false">
      <c r="B90" s="56" t="n">
        <v>77</v>
      </c>
      <c r="C90" s="37" t="n">
        <f aca="false">G89</f>
        <v>13692.2473599707</v>
      </c>
      <c r="D90" s="37" t="n">
        <f aca="false">E90+F90</f>
        <v>1769.79860860424</v>
      </c>
      <c r="E90" s="37" t="n">
        <f aca="false">IF(B90&lt;=$D$6,C90*$D$5/12,0)</f>
        <v>102.69185519978</v>
      </c>
      <c r="F90" s="37" t="n">
        <f aca="false">IF(B90&lt;=$D$6,IF(B90=$D$6,C90,MIN($D$7-E90,C90)),0)</f>
        <v>1667.10675340446</v>
      </c>
      <c r="G90" s="37" t="n">
        <f aca="false">C90-F90</f>
        <v>12025.1406065662</v>
      </c>
    </row>
    <row r="91" customFormat="false" ht="15" hidden="false" customHeight="false" outlineLevel="0" collapsed="false">
      <c r="B91" s="56" t="n">
        <v>78</v>
      </c>
      <c r="C91" s="37" t="n">
        <f aca="false">G90</f>
        <v>12025.1406065662</v>
      </c>
      <c r="D91" s="37" t="n">
        <f aca="false">E91+F91</f>
        <v>1769.79860860424</v>
      </c>
      <c r="E91" s="37" t="n">
        <f aca="false">IF(B91&lt;=$D$6,C91*$D$5/12,0)</f>
        <v>90.1885545492467</v>
      </c>
      <c r="F91" s="37" t="n">
        <f aca="false">IF(B91&lt;=$D$6,IF(B91=$D$6,C91,MIN($D$7-E91,C91)),0)</f>
        <v>1679.61005405499</v>
      </c>
      <c r="G91" s="37" t="n">
        <f aca="false">C91-F91</f>
        <v>10345.5305525112</v>
      </c>
    </row>
    <row r="92" customFormat="false" ht="15" hidden="false" customHeight="false" outlineLevel="0" collapsed="false">
      <c r="B92" s="56" t="n">
        <v>79</v>
      </c>
      <c r="C92" s="37" t="n">
        <f aca="false">G91</f>
        <v>10345.5305525112</v>
      </c>
      <c r="D92" s="37" t="n">
        <f aca="false">E92+F92</f>
        <v>1769.79860860424</v>
      </c>
      <c r="E92" s="37" t="n">
        <f aca="false">IF(B92&lt;=$D$6,C92*$D$5/12,0)</f>
        <v>77.5914791438343</v>
      </c>
      <c r="F92" s="37" t="n">
        <f aca="false">IF(B92&lt;=$D$6,IF(B92=$D$6,C92,MIN($D$7-E92,C92)),0)</f>
        <v>1692.20712946041</v>
      </c>
      <c r="G92" s="37" t="n">
        <f aca="false">C92-F92</f>
        <v>8653.32342305083</v>
      </c>
    </row>
    <row r="93" customFormat="false" ht="15" hidden="false" customHeight="false" outlineLevel="0" collapsed="false">
      <c r="B93" s="56" t="n">
        <v>80</v>
      </c>
      <c r="C93" s="37" t="n">
        <f aca="false">G92</f>
        <v>8653.32342305083</v>
      </c>
      <c r="D93" s="37" t="n">
        <f aca="false">E93+F93</f>
        <v>1769.79860860424</v>
      </c>
      <c r="E93" s="37" t="n">
        <f aca="false">IF(B93&lt;=$D$6,C93*$D$5/12,0)</f>
        <v>64.8999256728812</v>
      </c>
      <c r="F93" s="37" t="n">
        <f aca="false">IF(B93&lt;=$D$6,IF(B93=$D$6,C93,MIN($D$7-E93,C93)),0)</f>
        <v>1704.89868293136</v>
      </c>
      <c r="G93" s="37" t="n">
        <f aca="false">C93-F93</f>
        <v>6948.42474011947</v>
      </c>
    </row>
    <row r="94" customFormat="false" ht="15" hidden="false" customHeight="false" outlineLevel="0" collapsed="false">
      <c r="B94" s="56" t="n">
        <v>81</v>
      </c>
      <c r="C94" s="37" t="n">
        <f aca="false">G93</f>
        <v>6948.42474011947</v>
      </c>
      <c r="D94" s="37" t="n">
        <f aca="false">E94+F94</f>
        <v>1769.79860860424</v>
      </c>
      <c r="E94" s="37" t="n">
        <f aca="false">IF(B94&lt;=$D$6,C94*$D$5/12,0)</f>
        <v>52.113185550896</v>
      </c>
      <c r="F94" s="37" t="n">
        <f aca="false">IF(B94&lt;=$D$6,IF(B94=$D$6,C94,MIN($D$7-E94,C94)),0)</f>
        <v>1717.68542305334</v>
      </c>
      <c r="G94" s="37" t="n">
        <f aca="false">C94-F94</f>
        <v>5230.73931706612</v>
      </c>
    </row>
    <row r="95" customFormat="false" ht="15" hidden="false" customHeight="false" outlineLevel="0" collapsed="false">
      <c r="B95" s="56" t="n">
        <v>82</v>
      </c>
      <c r="C95" s="37" t="n">
        <f aca="false">G94</f>
        <v>5230.73931706612</v>
      </c>
      <c r="D95" s="37" t="n">
        <f aca="false">E95+F95</f>
        <v>1769.79860860424</v>
      </c>
      <c r="E95" s="37" t="n">
        <f aca="false">IF(B95&lt;=$D$6,C95*$D$5/12,0)</f>
        <v>39.2305448779959</v>
      </c>
      <c r="F95" s="37" t="n">
        <f aca="false">IF(B95&lt;=$D$6,IF(B95=$D$6,C95,MIN($D$7-E95,C95)),0)</f>
        <v>1730.56806372624</v>
      </c>
      <c r="G95" s="37" t="n">
        <f aca="false">C95-F95</f>
        <v>3500.17125333988</v>
      </c>
    </row>
    <row r="96" customFormat="false" ht="15" hidden="false" customHeight="false" outlineLevel="0" collapsed="false">
      <c r="B96" s="56" t="n">
        <v>83</v>
      </c>
      <c r="C96" s="37" t="n">
        <f aca="false">G95</f>
        <v>3500.17125333988</v>
      </c>
      <c r="D96" s="37" t="n">
        <f aca="false">E96+F96</f>
        <v>1769.79860860424</v>
      </c>
      <c r="E96" s="37" t="n">
        <f aca="false">IF(B96&lt;=$D$6,C96*$D$5/12,0)</f>
        <v>26.2512844000491</v>
      </c>
      <c r="F96" s="37" t="n">
        <f aca="false">IF(B96&lt;=$D$6,IF(B96=$D$6,C96,MIN($D$7-E96,C96)),0)</f>
        <v>1743.54732420419</v>
      </c>
      <c r="G96" s="37" t="n">
        <f aca="false">C96-F96</f>
        <v>1756.62392913569</v>
      </c>
    </row>
    <row r="97" customFormat="false" ht="15" hidden="false" customHeight="false" outlineLevel="0" collapsed="false">
      <c r="B97" s="56" t="n">
        <v>84</v>
      </c>
      <c r="C97" s="37" t="n">
        <f aca="false">G96</f>
        <v>1756.62392913569</v>
      </c>
      <c r="D97" s="37" t="n">
        <f aca="false">E97+F97</f>
        <v>1769.7986086042</v>
      </c>
      <c r="E97" s="37" t="n">
        <f aca="false">IF(B97&lt;=$D$6,C97*$D$5/12,0)</f>
        <v>13.1746794685177</v>
      </c>
      <c r="F97" s="37" t="n">
        <f aca="false">IF(B97&lt;=$D$6,IF(B97=$D$6,C97,MIN($D$7-E97,C97)),0)</f>
        <v>1756.62392913569</v>
      </c>
      <c r="G97" s="37" t="n">
        <f aca="false">C97-F97</f>
        <v>0</v>
      </c>
    </row>
    <row r="98" customFormat="false" ht="15" hidden="false" customHeight="false" outlineLevel="0" collapsed="false">
      <c r="B98" s="56" t="n">
        <v>85</v>
      </c>
      <c r="C98" s="37" t="n">
        <f aca="false">G97</f>
        <v>0</v>
      </c>
      <c r="D98" s="37" t="n">
        <f aca="false">E98+F98</f>
        <v>0</v>
      </c>
      <c r="E98" s="37" t="n">
        <f aca="false">IF(B98&lt;=$D$6,C98*$D$5/12,0)</f>
        <v>0</v>
      </c>
      <c r="F98" s="37" t="n">
        <f aca="false">IF(B98&lt;=$D$6,IF(B98=$D$6,C98,MIN($D$7-E98,C98)),0)</f>
        <v>0</v>
      </c>
      <c r="G98" s="37" t="n">
        <f aca="false">C98-F98</f>
        <v>0</v>
      </c>
    </row>
    <row r="99" customFormat="false" ht="15" hidden="false" customHeight="false" outlineLevel="0" collapsed="false">
      <c r="B99" s="56" t="n">
        <v>86</v>
      </c>
      <c r="C99" s="37" t="n">
        <f aca="false">G98</f>
        <v>0</v>
      </c>
      <c r="D99" s="37" t="n">
        <f aca="false">E99+F99</f>
        <v>0</v>
      </c>
      <c r="E99" s="37" t="n">
        <f aca="false">IF(B99&lt;=$D$6,C99*$D$5/12,0)</f>
        <v>0</v>
      </c>
      <c r="F99" s="37" t="n">
        <f aca="false">IF(B99&lt;=$D$6,IF(B99=$D$6,C99,MIN($D$7-E99,C99)),0)</f>
        <v>0</v>
      </c>
      <c r="G99" s="37" t="n">
        <f aca="false">C99-F99</f>
        <v>0</v>
      </c>
    </row>
    <row r="100" customFormat="false" ht="15" hidden="false" customHeight="false" outlineLevel="0" collapsed="false">
      <c r="B100" s="56" t="n">
        <v>87</v>
      </c>
      <c r="C100" s="37" t="n">
        <f aca="false">G99</f>
        <v>0</v>
      </c>
      <c r="D100" s="37" t="n">
        <f aca="false">E100+F100</f>
        <v>0</v>
      </c>
      <c r="E100" s="37" t="n">
        <f aca="false">IF(B100&lt;=$D$6,C100*$D$5/12,0)</f>
        <v>0</v>
      </c>
      <c r="F100" s="37" t="n">
        <f aca="false">IF(B100&lt;=$D$6,IF(B100=$D$6,C100,MIN($D$7-E100,C100)),0)</f>
        <v>0</v>
      </c>
      <c r="G100" s="37" t="n">
        <f aca="false">C100-F100</f>
        <v>0</v>
      </c>
    </row>
    <row r="101" customFormat="false" ht="15" hidden="false" customHeight="false" outlineLevel="0" collapsed="false">
      <c r="B101" s="56" t="n">
        <v>88</v>
      </c>
      <c r="C101" s="37" t="n">
        <f aca="false">G100</f>
        <v>0</v>
      </c>
      <c r="D101" s="37" t="n">
        <f aca="false">E101+F101</f>
        <v>0</v>
      </c>
      <c r="E101" s="37" t="n">
        <f aca="false">IF(B101&lt;=$D$6,C101*$D$5/12,0)</f>
        <v>0</v>
      </c>
      <c r="F101" s="37" t="n">
        <f aca="false">IF(B101&lt;=$D$6,IF(B101=$D$6,C101,MIN($D$7-E101,C101)),0)</f>
        <v>0</v>
      </c>
      <c r="G101" s="37" t="n">
        <f aca="false">C101-F101</f>
        <v>0</v>
      </c>
    </row>
    <row r="102" customFormat="false" ht="15" hidden="false" customHeight="false" outlineLevel="0" collapsed="false">
      <c r="B102" s="56" t="n">
        <v>89</v>
      </c>
      <c r="C102" s="37" t="n">
        <f aca="false">G101</f>
        <v>0</v>
      </c>
      <c r="D102" s="37" t="n">
        <f aca="false">E102+F102</f>
        <v>0</v>
      </c>
      <c r="E102" s="37" t="n">
        <f aca="false">IF(B102&lt;=$D$6,C102*$D$5/12,0)</f>
        <v>0</v>
      </c>
      <c r="F102" s="37" t="n">
        <f aca="false">IF(B102&lt;=$D$6,IF(B102=$D$6,C102,MIN($D$7-E102,C102)),0)</f>
        <v>0</v>
      </c>
      <c r="G102" s="37" t="n">
        <f aca="false">C102-F102</f>
        <v>0</v>
      </c>
    </row>
    <row r="103" customFormat="false" ht="15" hidden="false" customHeight="false" outlineLevel="0" collapsed="false">
      <c r="B103" s="56" t="n">
        <v>90</v>
      </c>
      <c r="C103" s="37" t="n">
        <f aca="false">G102</f>
        <v>0</v>
      </c>
      <c r="D103" s="37" t="n">
        <f aca="false">E103+F103</f>
        <v>0</v>
      </c>
      <c r="E103" s="37" t="n">
        <f aca="false">IF(B103&lt;=$D$6,C103*$D$5/12,0)</f>
        <v>0</v>
      </c>
      <c r="F103" s="37" t="n">
        <f aca="false">IF(B103&lt;=$D$6,IF(B103=$D$6,C103,MIN($D$7-E103,C103)),0)</f>
        <v>0</v>
      </c>
      <c r="G103" s="37" t="n">
        <f aca="false">C103-F103</f>
        <v>0</v>
      </c>
    </row>
    <row r="104" customFormat="false" ht="15" hidden="false" customHeight="false" outlineLevel="0" collapsed="false">
      <c r="B104" s="56" t="n">
        <v>91</v>
      </c>
      <c r="C104" s="37" t="n">
        <f aca="false">G103</f>
        <v>0</v>
      </c>
      <c r="D104" s="37" t="n">
        <f aca="false">E104+F104</f>
        <v>0</v>
      </c>
      <c r="E104" s="37" t="n">
        <f aca="false">IF(B104&lt;=$D$6,C104*$D$5/12,0)</f>
        <v>0</v>
      </c>
      <c r="F104" s="37" t="n">
        <f aca="false">IF(B104&lt;=$D$6,IF(B104=$D$6,C104,MIN($D$7-E104,C104)),0)</f>
        <v>0</v>
      </c>
      <c r="G104" s="37" t="n">
        <f aca="false">C104-F104</f>
        <v>0</v>
      </c>
    </row>
    <row r="105" customFormat="false" ht="15" hidden="false" customHeight="false" outlineLevel="0" collapsed="false">
      <c r="B105" s="56" t="n">
        <v>92</v>
      </c>
      <c r="C105" s="37" t="n">
        <f aca="false">G104</f>
        <v>0</v>
      </c>
      <c r="D105" s="37" t="n">
        <f aca="false">E105+F105</f>
        <v>0</v>
      </c>
      <c r="E105" s="37" t="n">
        <f aca="false">IF(B105&lt;=$D$6,C105*$D$5/12,0)</f>
        <v>0</v>
      </c>
      <c r="F105" s="37" t="n">
        <f aca="false">IF(B105&lt;=$D$6,IF(B105=$D$6,C105,MIN($D$7-E105,C105)),0)</f>
        <v>0</v>
      </c>
      <c r="G105" s="37" t="n">
        <f aca="false">C105-F105</f>
        <v>0</v>
      </c>
    </row>
    <row r="106" customFormat="false" ht="15" hidden="false" customHeight="false" outlineLevel="0" collapsed="false">
      <c r="B106" s="56" t="n">
        <v>93</v>
      </c>
      <c r="C106" s="37" t="n">
        <f aca="false">G105</f>
        <v>0</v>
      </c>
      <c r="D106" s="37" t="n">
        <f aca="false">E106+F106</f>
        <v>0</v>
      </c>
      <c r="E106" s="37" t="n">
        <f aca="false">IF(B106&lt;=$D$6,C106*$D$5/12,0)</f>
        <v>0</v>
      </c>
      <c r="F106" s="37" t="n">
        <f aca="false">IF(B106&lt;=$D$6,IF(B106=$D$6,C106,MIN($D$7-E106,C106)),0)</f>
        <v>0</v>
      </c>
      <c r="G106" s="37" t="n">
        <f aca="false">C106-F106</f>
        <v>0</v>
      </c>
    </row>
    <row r="107" customFormat="false" ht="15" hidden="false" customHeight="false" outlineLevel="0" collapsed="false">
      <c r="B107" s="56" t="n">
        <v>94</v>
      </c>
      <c r="C107" s="37" t="n">
        <f aca="false">G106</f>
        <v>0</v>
      </c>
      <c r="D107" s="37" t="n">
        <f aca="false">E107+F107</f>
        <v>0</v>
      </c>
      <c r="E107" s="37" t="n">
        <f aca="false">IF(B107&lt;=$D$6,C107*$D$5/12,0)</f>
        <v>0</v>
      </c>
      <c r="F107" s="37" t="n">
        <f aca="false">IF(B107&lt;=$D$6,IF(B107=$D$6,C107,MIN($D$7-E107,C107)),0)</f>
        <v>0</v>
      </c>
      <c r="G107" s="37" t="n">
        <f aca="false">C107-F107</f>
        <v>0</v>
      </c>
    </row>
    <row r="108" customFormat="false" ht="15" hidden="false" customHeight="false" outlineLevel="0" collapsed="false">
      <c r="B108" s="56" t="n">
        <v>95</v>
      </c>
      <c r="C108" s="37" t="n">
        <f aca="false">G107</f>
        <v>0</v>
      </c>
      <c r="D108" s="37" t="n">
        <f aca="false">E108+F108</f>
        <v>0</v>
      </c>
      <c r="E108" s="37" t="n">
        <f aca="false">IF(B108&lt;=$D$6,C108*$D$5/12,0)</f>
        <v>0</v>
      </c>
      <c r="F108" s="37" t="n">
        <f aca="false">IF(B108&lt;=$D$6,IF(B108=$D$6,C108,MIN($D$7-E108,C108)),0)</f>
        <v>0</v>
      </c>
      <c r="G108" s="37" t="n">
        <f aca="false">C108-F108</f>
        <v>0</v>
      </c>
    </row>
    <row r="109" customFormat="false" ht="15" hidden="false" customHeight="false" outlineLevel="0" collapsed="false">
      <c r="B109" s="56" t="n">
        <v>96</v>
      </c>
      <c r="C109" s="37" t="n">
        <f aca="false">G108</f>
        <v>0</v>
      </c>
      <c r="D109" s="37" t="n">
        <f aca="false">E109+F109</f>
        <v>0</v>
      </c>
      <c r="E109" s="37" t="n">
        <f aca="false">IF(B109&lt;=$D$6,C109*$D$5/12,0)</f>
        <v>0</v>
      </c>
      <c r="F109" s="37" t="n">
        <f aca="false">IF(B109&lt;=$D$6,IF(B109=$D$6,C109,MIN($D$7-E109,C109)),0)</f>
        <v>0</v>
      </c>
      <c r="G109" s="37" t="n">
        <f aca="false">C109-F109</f>
        <v>0</v>
      </c>
    </row>
    <row r="110" customFormat="false" ht="15" hidden="false" customHeight="false" outlineLevel="0" collapsed="false">
      <c r="B110" s="56" t="n">
        <v>97</v>
      </c>
      <c r="C110" s="37" t="n">
        <f aca="false">G109</f>
        <v>0</v>
      </c>
      <c r="D110" s="37" t="n">
        <f aca="false">E110+F110</f>
        <v>0</v>
      </c>
      <c r="E110" s="37" t="n">
        <f aca="false">IF(B110&lt;=$D$6,C110*$D$5/12,0)</f>
        <v>0</v>
      </c>
      <c r="F110" s="37" t="n">
        <f aca="false">IF(B110&lt;=$D$6,IF(B110=$D$6,C110,MIN($D$7-E110,C110)),0)</f>
        <v>0</v>
      </c>
      <c r="G110" s="37" t="n">
        <f aca="false">C110-F110</f>
        <v>0</v>
      </c>
    </row>
    <row r="111" customFormat="false" ht="15" hidden="false" customHeight="false" outlineLevel="0" collapsed="false">
      <c r="B111" s="56" t="n">
        <v>98</v>
      </c>
      <c r="C111" s="37" t="n">
        <f aca="false">G110</f>
        <v>0</v>
      </c>
      <c r="D111" s="37" t="n">
        <f aca="false">E111+F111</f>
        <v>0</v>
      </c>
      <c r="E111" s="37" t="n">
        <f aca="false">IF(B111&lt;=$D$6,C111*$D$5/12,0)</f>
        <v>0</v>
      </c>
      <c r="F111" s="37" t="n">
        <f aca="false">IF(B111&lt;=$D$6,IF(B111=$D$6,C111,MIN($D$7-E111,C111)),0)</f>
        <v>0</v>
      </c>
      <c r="G111" s="37" t="n">
        <f aca="false">C111-F111</f>
        <v>0</v>
      </c>
    </row>
    <row r="112" customFormat="false" ht="15" hidden="false" customHeight="false" outlineLevel="0" collapsed="false">
      <c r="B112" s="56" t="n">
        <v>99</v>
      </c>
      <c r="C112" s="37" t="n">
        <f aca="false">G111</f>
        <v>0</v>
      </c>
      <c r="D112" s="37" t="n">
        <f aca="false">E112+F112</f>
        <v>0</v>
      </c>
      <c r="E112" s="37" t="n">
        <f aca="false">IF(B112&lt;=$D$6,C112*$D$5/12,0)</f>
        <v>0</v>
      </c>
      <c r="F112" s="37" t="n">
        <f aca="false">IF(B112&lt;=$D$6,IF(B112=$D$6,C112,MIN($D$7-E112,C112)),0)</f>
        <v>0</v>
      </c>
      <c r="G112" s="37" t="n">
        <f aca="false">C112-F112</f>
        <v>0</v>
      </c>
    </row>
    <row r="113" customFormat="false" ht="15" hidden="false" customHeight="false" outlineLevel="0" collapsed="false">
      <c r="B113" s="56" t="n">
        <v>100</v>
      </c>
      <c r="C113" s="37" t="n">
        <f aca="false">G112</f>
        <v>0</v>
      </c>
      <c r="D113" s="37" t="n">
        <f aca="false">E113+F113</f>
        <v>0</v>
      </c>
      <c r="E113" s="37" t="n">
        <f aca="false">IF(B113&lt;=$D$6,C113*$D$5/12,0)</f>
        <v>0</v>
      </c>
      <c r="F113" s="37" t="n">
        <f aca="false">IF(B113&lt;=$D$6,IF(B113=$D$6,C113,MIN($D$7-E113,C113)),0)</f>
        <v>0</v>
      </c>
      <c r="G113" s="37" t="n">
        <f aca="false">C113-F113</f>
        <v>0</v>
      </c>
    </row>
    <row r="114" customFormat="false" ht="15" hidden="false" customHeight="false" outlineLevel="0" collapsed="false">
      <c r="B114" s="56" t="n">
        <v>101</v>
      </c>
      <c r="C114" s="37" t="n">
        <f aca="false">G113</f>
        <v>0</v>
      </c>
      <c r="D114" s="37" t="n">
        <f aca="false">E114+F114</f>
        <v>0</v>
      </c>
      <c r="E114" s="37" t="n">
        <f aca="false">IF(B114&lt;=$D$6,C114*$D$5/12,0)</f>
        <v>0</v>
      </c>
      <c r="F114" s="37" t="n">
        <f aca="false">IF(B114&lt;=$D$6,IF(B114=$D$6,C114,MIN($D$7-E114,C114)),0)</f>
        <v>0</v>
      </c>
      <c r="G114" s="37" t="n">
        <f aca="false">C114-F114</f>
        <v>0</v>
      </c>
    </row>
    <row r="115" customFormat="false" ht="15" hidden="false" customHeight="false" outlineLevel="0" collapsed="false">
      <c r="B115" s="56" t="n">
        <v>102</v>
      </c>
      <c r="C115" s="37" t="n">
        <f aca="false">G114</f>
        <v>0</v>
      </c>
      <c r="D115" s="37" t="n">
        <f aca="false">E115+F115</f>
        <v>0</v>
      </c>
      <c r="E115" s="37" t="n">
        <f aca="false">IF(B115&lt;=$D$6,C115*$D$5/12,0)</f>
        <v>0</v>
      </c>
      <c r="F115" s="37" t="n">
        <f aca="false">IF(B115&lt;=$D$6,IF(B115=$D$6,C115,MIN($D$7-E115,C115)),0)</f>
        <v>0</v>
      </c>
      <c r="G115" s="37" t="n">
        <f aca="false">C115-F115</f>
        <v>0</v>
      </c>
    </row>
    <row r="116" customFormat="false" ht="15" hidden="false" customHeight="false" outlineLevel="0" collapsed="false">
      <c r="B116" s="56" t="n">
        <v>103</v>
      </c>
      <c r="C116" s="37" t="n">
        <f aca="false">G115</f>
        <v>0</v>
      </c>
      <c r="D116" s="37" t="n">
        <f aca="false">E116+F116</f>
        <v>0</v>
      </c>
      <c r="E116" s="37" t="n">
        <f aca="false">IF(B116&lt;=$D$6,C116*$D$5/12,0)</f>
        <v>0</v>
      </c>
      <c r="F116" s="37" t="n">
        <f aca="false">IF(B116&lt;=$D$6,IF(B116=$D$6,C116,MIN($D$7-E116,C116)),0)</f>
        <v>0</v>
      </c>
      <c r="G116" s="37" t="n">
        <f aca="false">C116-F116</f>
        <v>0</v>
      </c>
    </row>
    <row r="117" customFormat="false" ht="15" hidden="false" customHeight="false" outlineLevel="0" collapsed="false">
      <c r="B117" s="56" t="n">
        <v>104</v>
      </c>
      <c r="C117" s="37" t="n">
        <f aca="false">G116</f>
        <v>0</v>
      </c>
      <c r="D117" s="37" t="n">
        <f aca="false">E117+F117</f>
        <v>0</v>
      </c>
      <c r="E117" s="37" t="n">
        <f aca="false">IF(B117&lt;=$D$6,C117*$D$5/12,0)</f>
        <v>0</v>
      </c>
      <c r="F117" s="37" t="n">
        <f aca="false">IF(B117&lt;=$D$6,IF(B117=$D$6,C117,MIN($D$7-E117,C117)),0)</f>
        <v>0</v>
      </c>
      <c r="G117" s="37" t="n">
        <f aca="false">C117-F117</f>
        <v>0</v>
      </c>
    </row>
    <row r="118" customFormat="false" ht="15" hidden="false" customHeight="false" outlineLevel="0" collapsed="false">
      <c r="B118" s="56" t="n">
        <v>105</v>
      </c>
      <c r="C118" s="37" t="n">
        <f aca="false">G117</f>
        <v>0</v>
      </c>
      <c r="D118" s="37" t="n">
        <f aca="false">E118+F118</f>
        <v>0</v>
      </c>
      <c r="E118" s="37" t="n">
        <f aca="false">IF(B118&lt;=$D$6,C118*$D$5/12,0)</f>
        <v>0</v>
      </c>
      <c r="F118" s="37" t="n">
        <f aca="false">IF(B118&lt;=$D$6,IF(B118=$D$6,C118,MIN($D$7-E118,C118)),0)</f>
        <v>0</v>
      </c>
      <c r="G118" s="37" t="n">
        <f aca="false">C118-F118</f>
        <v>0</v>
      </c>
    </row>
    <row r="119" customFormat="false" ht="15" hidden="false" customHeight="false" outlineLevel="0" collapsed="false">
      <c r="B119" s="56" t="n">
        <v>106</v>
      </c>
      <c r="C119" s="37" t="n">
        <f aca="false">G118</f>
        <v>0</v>
      </c>
      <c r="D119" s="37" t="n">
        <f aca="false">E119+F119</f>
        <v>0</v>
      </c>
      <c r="E119" s="37" t="n">
        <f aca="false">IF(B119&lt;=$D$6,C119*$D$5/12,0)</f>
        <v>0</v>
      </c>
      <c r="F119" s="37" t="n">
        <f aca="false">IF(B119&lt;=$D$6,IF(B119=$D$6,C119,MIN($D$7-E119,C119)),0)</f>
        <v>0</v>
      </c>
      <c r="G119" s="37" t="n">
        <f aca="false">C119-F119</f>
        <v>0</v>
      </c>
    </row>
    <row r="120" customFormat="false" ht="15" hidden="false" customHeight="false" outlineLevel="0" collapsed="false">
      <c r="B120" s="56" t="n">
        <v>107</v>
      </c>
      <c r="C120" s="37" t="n">
        <f aca="false">G119</f>
        <v>0</v>
      </c>
      <c r="D120" s="37" t="n">
        <f aca="false">E120+F120</f>
        <v>0</v>
      </c>
      <c r="E120" s="37" t="n">
        <f aca="false">IF(B120&lt;=$D$6,C120*$D$5/12,0)</f>
        <v>0</v>
      </c>
      <c r="F120" s="37" t="n">
        <f aca="false">IF(B120&lt;=$D$6,IF(B120=$D$6,C120,MIN($D$7-E120,C120)),0)</f>
        <v>0</v>
      </c>
      <c r="G120" s="37" t="n">
        <f aca="false">C120-F120</f>
        <v>0</v>
      </c>
    </row>
    <row r="121" customFormat="false" ht="15" hidden="false" customHeight="false" outlineLevel="0" collapsed="false">
      <c r="B121" s="56" t="n">
        <v>108</v>
      </c>
      <c r="C121" s="37" t="n">
        <f aca="false">G120</f>
        <v>0</v>
      </c>
      <c r="D121" s="37" t="n">
        <f aca="false">E121+F121</f>
        <v>0</v>
      </c>
      <c r="E121" s="37" t="n">
        <f aca="false">IF(B121&lt;=$D$6,C121*$D$5/12,0)</f>
        <v>0</v>
      </c>
      <c r="F121" s="37" t="n">
        <f aca="false">IF(B121&lt;=$D$6,IF(B121=$D$6,C121,MIN($D$7-E121,C121)),0)</f>
        <v>0</v>
      </c>
      <c r="G121" s="37" t="n">
        <f aca="false">C121-F121</f>
        <v>0</v>
      </c>
    </row>
    <row r="122" customFormat="false" ht="15" hidden="false" customHeight="false" outlineLevel="0" collapsed="false">
      <c r="B122" s="56" t="n">
        <v>109</v>
      </c>
      <c r="C122" s="37" t="n">
        <f aca="false">G121</f>
        <v>0</v>
      </c>
      <c r="D122" s="37" t="n">
        <f aca="false">E122+F122</f>
        <v>0</v>
      </c>
      <c r="E122" s="37" t="n">
        <f aca="false">IF(B122&lt;=$D$6,C122*$D$5/12,0)</f>
        <v>0</v>
      </c>
      <c r="F122" s="37" t="n">
        <f aca="false">IF(B122&lt;=$D$6,IF(B122=$D$6,C122,MIN($D$7-E122,C122)),0)</f>
        <v>0</v>
      </c>
      <c r="G122" s="37" t="n">
        <f aca="false">C122-F122</f>
        <v>0</v>
      </c>
    </row>
    <row r="123" customFormat="false" ht="15" hidden="false" customHeight="false" outlineLevel="0" collapsed="false">
      <c r="B123" s="56" t="n">
        <v>110</v>
      </c>
      <c r="C123" s="37" t="n">
        <f aca="false">G122</f>
        <v>0</v>
      </c>
      <c r="D123" s="37" t="n">
        <f aca="false">E123+F123</f>
        <v>0</v>
      </c>
      <c r="E123" s="37" t="n">
        <f aca="false">IF(B123&lt;=$D$6,C123*$D$5/12,0)</f>
        <v>0</v>
      </c>
      <c r="F123" s="37" t="n">
        <f aca="false">IF(B123&lt;=$D$6,IF(B123=$D$6,C123,MIN($D$7-E123,C123)),0)</f>
        <v>0</v>
      </c>
      <c r="G123" s="37" t="n">
        <f aca="false">C123-F123</f>
        <v>0</v>
      </c>
    </row>
    <row r="124" customFormat="false" ht="15" hidden="false" customHeight="false" outlineLevel="0" collapsed="false">
      <c r="B124" s="56" t="n">
        <v>111</v>
      </c>
      <c r="C124" s="37" t="n">
        <f aca="false">G123</f>
        <v>0</v>
      </c>
      <c r="D124" s="37" t="n">
        <f aca="false">E124+F124</f>
        <v>0</v>
      </c>
      <c r="E124" s="37" t="n">
        <f aca="false">IF(B124&lt;=$D$6,C124*$D$5/12,0)</f>
        <v>0</v>
      </c>
      <c r="F124" s="37" t="n">
        <f aca="false">IF(B124&lt;=$D$6,IF(B124=$D$6,C124,MIN($D$7-E124,C124)),0)</f>
        <v>0</v>
      </c>
      <c r="G124" s="37" t="n">
        <f aca="false">C124-F124</f>
        <v>0</v>
      </c>
    </row>
    <row r="125" customFormat="false" ht="15" hidden="false" customHeight="false" outlineLevel="0" collapsed="false">
      <c r="B125" s="56" t="n">
        <v>112</v>
      </c>
      <c r="C125" s="37" t="n">
        <f aca="false">G124</f>
        <v>0</v>
      </c>
      <c r="D125" s="37" t="n">
        <f aca="false">E125+F125</f>
        <v>0</v>
      </c>
      <c r="E125" s="37" t="n">
        <f aca="false">IF(B125&lt;=$D$6,C125*$D$5/12,0)</f>
        <v>0</v>
      </c>
      <c r="F125" s="37" t="n">
        <f aca="false">IF(B125&lt;=$D$6,IF(B125=$D$6,C125,MIN($D$7-E125,C125)),0)</f>
        <v>0</v>
      </c>
      <c r="G125" s="37" t="n">
        <f aca="false">C125-F125</f>
        <v>0</v>
      </c>
    </row>
    <row r="126" customFormat="false" ht="15" hidden="false" customHeight="false" outlineLevel="0" collapsed="false">
      <c r="B126" s="56" t="n">
        <v>113</v>
      </c>
      <c r="C126" s="37" t="n">
        <f aca="false">G125</f>
        <v>0</v>
      </c>
      <c r="D126" s="37" t="n">
        <f aca="false">E126+F126</f>
        <v>0</v>
      </c>
      <c r="E126" s="37" t="n">
        <f aca="false">IF(B126&lt;=$D$6,C126*$D$5/12,0)</f>
        <v>0</v>
      </c>
      <c r="F126" s="37" t="n">
        <f aca="false">IF(B126&lt;=$D$6,IF(B126=$D$6,C126,MIN($D$7-E126,C126)),0)</f>
        <v>0</v>
      </c>
      <c r="G126" s="37" t="n">
        <f aca="false">C126-F126</f>
        <v>0</v>
      </c>
    </row>
    <row r="127" customFormat="false" ht="15" hidden="false" customHeight="false" outlineLevel="0" collapsed="false">
      <c r="B127" s="56" t="n">
        <v>114</v>
      </c>
      <c r="C127" s="37" t="n">
        <f aca="false">G126</f>
        <v>0</v>
      </c>
      <c r="D127" s="37" t="n">
        <f aca="false">E127+F127</f>
        <v>0</v>
      </c>
      <c r="E127" s="37" t="n">
        <f aca="false">IF(B127&lt;=$D$6,C127*$D$5/12,0)</f>
        <v>0</v>
      </c>
      <c r="F127" s="37" t="n">
        <f aca="false">IF(B127&lt;=$D$6,IF(B127=$D$6,C127,MIN($D$7-E127,C127)),0)</f>
        <v>0</v>
      </c>
      <c r="G127" s="37" t="n">
        <f aca="false">C127-F127</f>
        <v>0</v>
      </c>
    </row>
    <row r="128" customFormat="false" ht="15" hidden="false" customHeight="false" outlineLevel="0" collapsed="false">
      <c r="B128" s="56" t="n">
        <v>115</v>
      </c>
      <c r="C128" s="37" t="n">
        <f aca="false">G127</f>
        <v>0</v>
      </c>
      <c r="D128" s="37" t="n">
        <f aca="false">E128+F128</f>
        <v>0</v>
      </c>
      <c r="E128" s="37" t="n">
        <f aca="false">IF(B128&lt;=$D$6,C128*$D$5/12,0)</f>
        <v>0</v>
      </c>
      <c r="F128" s="37" t="n">
        <f aca="false">IF(B128&lt;=$D$6,IF(B128=$D$6,C128,MIN($D$7-E128,C128)),0)</f>
        <v>0</v>
      </c>
      <c r="G128" s="37" t="n">
        <f aca="false">C128-F128</f>
        <v>0</v>
      </c>
    </row>
    <row r="129" customFormat="false" ht="15" hidden="false" customHeight="false" outlineLevel="0" collapsed="false">
      <c r="B129" s="56" t="n">
        <v>116</v>
      </c>
      <c r="C129" s="37" t="n">
        <f aca="false">G128</f>
        <v>0</v>
      </c>
      <c r="D129" s="37" t="n">
        <f aca="false">E129+F129</f>
        <v>0</v>
      </c>
      <c r="E129" s="37" t="n">
        <f aca="false">IF(B129&lt;=$D$6,C129*$D$5/12,0)</f>
        <v>0</v>
      </c>
      <c r="F129" s="37" t="n">
        <f aca="false">IF(B129&lt;=$D$6,IF(B129=$D$6,C129,MIN($D$7-E129,C129)),0)</f>
        <v>0</v>
      </c>
      <c r="G129" s="37" t="n">
        <f aca="false">C129-F129</f>
        <v>0</v>
      </c>
    </row>
    <row r="130" customFormat="false" ht="15" hidden="false" customHeight="false" outlineLevel="0" collapsed="false">
      <c r="B130" s="56" t="n">
        <v>117</v>
      </c>
      <c r="C130" s="37" t="n">
        <f aca="false">G129</f>
        <v>0</v>
      </c>
      <c r="D130" s="37" t="n">
        <f aca="false">E130+F130</f>
        <v>0</v>
      </c>
      <c r="E130" s="37" t="n">
        <f aca="false">IF(B130&lt;=$D$6,C130*$D$5/12,0)</f>
        <v>0</v>
      </c>
      <c r="F130" s="37" t="n">
        <f aca="false">IF(B130&lt;=$D$6,IF(B130=$D$6,C130,MIN($D$7-E130,C130)),0)</f>
        <v>0</v>
      </c>
      <c r="G130" s="37" t="n">
        <f aca="false">C130-F130</f>
        <v>0</v>
      </c>
    </row>
    <row r="131" customFormat="false" ht="15" hidden="false" customHeight="false" outlineLevel="0" collapsed="false">
      <c r="B131" s="56" t="n">
        <v>118</v>
      </c>
      <c r="C131" s="37" t="n">
        <f aca="false">G130</f>
        <v>0</v>
      </c>
      <c r="D131" s="37" t="n">
        <f aca="false">E131+F131</f>
        <v>0</v>
      </c>
      <c r="E131" s="37" t="n">
        <f aca="false">IF(B131&lt;=$D$6,C131*$D$5/12,0)</f>
        <v>0</v>
      </c>
      <c r="F131" s="37" t="n">
        <f aca="false">IF(B131&lt;=$D$6,IF(B131=$D$6,C131,MIN($D$7-E131,C131)),0)</f>
        <v>0</v>
      </c>
      <c r="G131" s="37" t="n">
        <f aca="false">C131-F131</f>
        <v>0</v>
      </c>
    </row>
    <row r="132" customFormat="false" ht="15" hidden="false" customHeight="false" outlineLevel="0" collapsed="false">
      <c r="B132" s="56" t="n">
        <v>119</v>
      </c>
      <c r="C132" s="37" t="n">
        <f aca="false">G131</f>
        <v>0</v>
      </c>
      <c r="D132" s="37" t="n">
        <f aca="false">E132+F132</f>
        <v>0</v>
      </c>
      <c r="E132" s="37" t="n">
        <f aca="false">IF(B132&lt;=$D$6,C132*$D$5/12,0)</f>
        <v>0</v>
      </c>
      <c r="F132" s="37" t="n">
        <f aca="false">IF(B132&lt;=$D$6,IF(B132=$D$6,C132,MIN($D$7-E132,C132)),0)</f>
        <v>0</v>
      </c>
      <c r="G132" s="37" t="n">
        <f aca="false">C132-F132</f>
        <v>0</v>
      </c>
    </row>
    <row r="133" customFormat="false" ht="15" hidden="false" customHeight="false" outlineLevel="0" collapsed="false">
      <c r="B133" s="56" t="n">
        <v>120</v>
      </c>
      <c r="C133" s="37" t="n">
        <f aca="false">G132</f>
        <v>0</v>
      </c>
      <c r="D133" s="37" t="n">
        <f aca="false">E133+F133</f>
        <v>0</v>
      </c>
      <c r="E133" s="37" t="n">
        <f aca="false">IF(B133&lt;=$D$6,C133*$D$5/12,0)</f>
        <v>0</v>
      </c>
      <c r="F133" s="37" t="n">
        <f aca="false">IF(B133&lt;=$D$6,IF(B133=$D$6,C133,MIN($D$7-E133,C133)),0)</f>
        <v>0</v>
      </c>
      <c r="G133" s="37" t="n">
        <f aca="false">C133-F133</f>
        <v>0</v>
      </c>
    </row>
    <row r="134" customFormat="false" ht="15" hidden="false" customHeight="false" outlineLevel="0" collapsed="false">
      <c r="B134" s="56" t="n">
        <v>121</v>
      </c>
      <c r="C134" s="37" t="n">
        <f aca="false">G133</f>
        <v>0</v>
      </c>
      <c r="D134" s="37" t="n">
        <f aca="false">E134+F134</f>
        <v>0</v>
      </c>
      <c r="E134" s="37" t="n">
        <f aca="false">IF(B134&lt;=$D$6,C134*$D$5/12,0)</f>
        <v>0</v>
      </c>
      <c r="F134" s="37" t="n">
        <f aca="false">IF(B134&lt;=$D$6,IF(B134=$D$6,C134,MIN($D$7-E134,C134)),0)</f>
        <v>0</v>
      </c>
      <c r="G134" s="37" t="n">
        <f aca="false">C134-F134</f>
        <v>0</v>
      </c>
    </row>
    <row r="135" customFormat="false" ht="15" hidden="false" customHeight="false" outlineLevel="0" collapsed="false">
      <c r="B135" s="56" t="n">
        <v>122</v>
      </c>
      <c r="C135" s="37" t="n">
        <f aca="false">G134</f>
        <v>0</v>
      </c>
      <c r="D135" s="37" t="n">
        <f aca="false">E135+F135</f>
        <v>0</v>
      </c>
      <c r="E135" s="37" t="n">
        <f aca="false">IF(B135&lt;=$D$6,C135*$D$5/12,0)</f>
        <v>0</v>
      </c>
      <c r="F135" s="37" t="n">
        <f aca="false">IF(B135&lt;=$D$6,IF(B135=$D$6,C135,MIN($D$7-E135,C135)),0)</f>
        <v>0</v>
      </c>
      <c r="G135" s="37" t="n">
        <f aca="false">C135-F135</f>
        <v>0</v>
      </c>
    </row>
    <row r="136" customFormat="false" ht="15" hidden="false" customHeight="false" outlineLevel="0" collapsed="false">
      <c r="B136" s="56" t="n">
        <v>123</v>
      </c>
      <c r="C136" s="37" t="n">
        <f aca="false">G135</f>
        <v>0</v>
      </c>
      <c r="D136" s="37" t="n">
        <f aca="false">E136+F136</f>
        <v>0</v>
      </c>
      <c r="E136" s="37" t="n">
        <f aca="false">IF(B136&lt;=$D$6,C136*$D$5/12,0)</f>
        <v>0</v>
      </c>
      <c r="F136" s="37" t="n">
        <f aca="false">IF(B136&lt;=$D$6,IF(B136=$D$6,C136,MIN($D$7-E136,C136)),0)</f>
        <v>0</v>
      </c>
      <c r="G136" s="37" t="n">
        <f aca="false">C136-F136</f>
        <v>0</v>
      </c>
    </row>
    <row r="137" customFormat="false" ht="15" hidden="false" customHeight="false" outlineLevel="0" collapsed="false">
      <c r="B137" s="56" t="n">
        <v>124</v>
      </c>
      <c r="C137" s="37" t="n">
        <f aca="false">G136</f>
        <v>0</v>
      </c>
      <c r="D137" s="37" t="n">
        <f aca="false">E137+F137</f>
        <v>0</v>
      </c>
      <c r="E137" s="37" t="n">
        <f aca="false">IF(B137&lt;=$D$6,C137*$D$5/12,0)</f>
        <v>0</v>
      </c>
      <c r="F137" s="37" t="n">
        <f aca="false">IF(B137&lt;=$D$6,IF(B137=$D$6,C137,MIN($D$7-E137,C137)),0)</f>
        <v>0</v>
      </c>
      <c r="G137" s="37" t="n">
        <f aca="false">C137-F137</f>
        <v>0</v>
      </c>
    </row>
    <row r="138" customFormat="false" ht="15" hidden="false" customHeight="false" outlineLevel="0" collapsed="false">
      <c r="B138" s="56" t="n">
        <v>125</v>
      </c>
      <c r="C138" s="37" t="n">
        <f aca="false">G137</f>
        <v>0</v>
      </c>
      <c r="D138" s="37" t="n">
        <f aca="false">E138+F138</f>
        <v>0</v>
      </c>
      <c r="E138" s="37" t="n">
        <f aca="false">IF(B138&lt;=$D$6,C138*$D$5/12,0)</f>
        <v>0</v>
      </c>
      <c r="F138" s="37" t="n">
        <f aca="false">IF(B138&lt;=$D$6,IF(B138=$D$6,C138,MIN($D$7-E138,C138)),0)</f>
        <v>0</v>
      </c>
      <c r="G138" s="37" t="n">
        <f aca="false">C138-F138</f>
        <v>0</v>
      </c>
    </row>
    <row r="139" customFormat="false" ht="15" hidden="false" customHeight="false" outlineLevel="0" collapsed="false">
      <c r="B139" s="56" t="n">
        <v>126</v>
      </c>
      <c r="C139" s="37" t="n">
        <f aca="false">G138</f>
        <v>0</v>
      </c>
      <c r="D139" s="37" t="n">
        <f aca="false">E139+F139</f>
        <v>0</v>
      </c>
      <c r="E139" s="37" t="n">
        <f aca="false">IF(B139&lt;=$D$6,C139*$D$5/12,0)</f>
        <v>0</v>
      </c>
      <c r="F139" s="37" t="n">
        <f aca="false">IF(B139&lt;=$D$6,IF(B139=$D$6,C139,MIN($D$7-E139,C139)),0)</f>
        <v>0</v>
      </c>
      <c r="G139" s="37" t="n">
        <f aca="false">C139-F139</f>
        <v>0</v>
      </c>
    </row>
    <row r="140" customFormat="false" ht="15" hidden="false" customHeight="false" outlineLevel="0" collapsed="false">
      <c r="B140" s="56" t="n">
        <v>127</v>
      </c>
      <c r="C140" s="37" t="n">
        <f aca="false">G139</f>
        <v>0</v>
      </c>
      <c r="D140" s="37" t="n">
        <f aca="false">E140+F140</f>
        <v>0</v>
      </c>
      <c r="E140" s="37" t="n">
        <f aca="false">IF(B140&lt;=$D$6,C140*$D$5/12,0)</f>
        <v>0</v>
      </c>
      <c r="F140" s="37" t="n">
        <f aca="false">IF(B140&lt;=$D$6,IF(B140=$D$6,C140,MIN($D$7-E140,C140)),0)</f>
        <v>0</v>
      </c>
      <c r="G140" s="37" t="n">
        <f aca="false">C140-F140</f>
        <v>0</v>
      </c>
    </row>
    <row r="141" customFormat="false" ht="15" hidden="false" customHeight="false" outlineLevel="0" collapsed="false">
      <c r="B141" s="56" t="n">
        <v>128</v>
      </c>
      <c r="C141" s="37" t="n">
        <f aca="false">G140</f>
        <v>0</v>
      </c>
      <c r="D141" s="37" t="n">
        <f aca="false">E141+F141</f>
        <v>0</v>
      </c>
      <c r="E141" s="37" t="n">
        <f aca="false">IF(B141&lt;=$D$6,C141*$D$5/12,0)</f>
        <v>0</v>
      </c>
      <c r="F141" s="37" t="n">
        <f aca="false">IF(B141&lt;=$D$6,IF(B141=$D$6,C141,MIN($D$7-E141,C141)),0)</f>
        <v>0</v>
      </c>
      <c r="G141" s="37" t="n">
        <f aca="false">C141-F141</f>
        <v>0</v>
      </c>
    </row>
    <row r="142" customFormat="false" ht="15" hidden="false" customHeight="false" outlineLevel="0" collapsed="false">
      <c r="B142" s="56" t="n">
        <v>129</v>
      </c>
      <c r="C142" s="37" t="n">
        <f aca="false">G141</f>
        <v>0</v>
      </c>
      <c r="D142" s="37" t="n">
        <f aca="false">E142+F142</f>
        <v>0</v>
      </c>
      <c r="E142" s="37" t="n">
        <f aca="false">IF(B142&lt;=$D$6,C142*$D$5/12,0)</f>
        <v>0</v>
      </c>
      <c r="F142" s="37" t="n">
        <f aca="false">IF(B142&lt;=$D$6,IF(B142=$D$6,C142,MIN($D$7-E142,C142)),0)</f>
        <v>0</v>
      </c>
      <c r="G142" s="37" t="n">
        <f aca="false">C142-F142</f>
        <v>0</v>
      </c>
    </row>
    <row r="143" customFormat="false" ht="15" hidden="false" customHeight="false" outlineLevel="0" collapsed="false">
      <c r="B143" s="56" t="n">
        <v>130</v>
      </c>
      <c r="C143" s="37" t="n">
        <f aca="false">G142</f>
        <v>0</v>
      </c>
      <c r="D143" s="37" t="n">
        <f aca="false">E143+F143</f>
        <v>0</v>
      </c>
      <c r="E143" s="37" t="n">
        <f aca="false">IF(B143&lt;=$D$6,C143*$D$5/12,0)</f>
        <v>0</v>
      </c>
      <c r="F143" s="37" t="n">
        <f aca="false">IF(B143&lt;=$D$6,IF(B143=$D$6,C143,MIN($D$7-E143,C143)),0)</f>
        <v>0</v>
      </c>
      <c r="G143" s="37" t="n">
        <f aca="false">C143-F143</f>
        <v>0</v>
      </c>
    </row>
    <row r="144" customFormat="false" ht="15" hidden="false" customHeight="false" outlineLevel="0" collapsed="false">
      <c r="B144" s="56" t="n">
        <v>131</v>
      </c>
      <c r="C144" s="37" t="n">
        <f aca="false">G143</f>
        <v>0</v>
      </c>
      <c r="D144" s="37" t="n">
        <f aca="false">E144+F144</f>
        <v>0</v>
      </c>
      <c r="E144" s="37" t="n">
        <f aca="false">IF(B144&lt;=$D$6,C144*$D$5/12,0)</f>
        <v>0</v>
      </c>
      <c r="F144" s="37" t="n">
        <f aca="false">IF(B144&lt;=$D$6,IF(B144=$D$6,C144,MIN($D$7-E144,C144)),0)</f>
        <v>0</v>
      </c>
      <c r="G144" s="37" t="n">
        <f aca="false">C144-F144</f>
        <v>0</v>
      </c>
    </row>
    <row r="145" customFormat="false" ht="15" hidden="false" customHeight="false" outlineLevel="0" collapsed="false">
      <c r="B145" s="56" t="n">
        <v>132</v>
      </c>
      <c r="C145" s="37" t="n">
        <f aca="false">G144</f>
        <v>0</v>
      </c>
      <c r="D145" s="37" t="n">
        <f aca="false">E145+F145</f>
        <v>0</v>
      </c>
      <c r="E145" s="37" t="n">
        <f aca="false">IF(B145&lt;=$D$6,C145*$D$5/12,0)</f>
        <v>0</v>
      </c>
      <c r="F145" s="37" t="n">
        <f aca="false">IF(B145&lt;=$D$6,IF(B145=$D$6,C145,MIN($D$7-E145,C145)),0)</f>
        <v>0</v>
      </c>
      <c r="G145" s="37" t="n">
        <f aca="false">C145-F145</f>
        <v>0</v>
      </c>
    </row>
    <row r="146" customFormat="false" ht="15" hidden="false" customHeight="false" outlineLevel="0" collapsed="false">
      <c r="B146" s="56" t="n">
        <v>133</v>
      </c>
      <c r="C146" s="37" t="n">
        <f aca="false">G145</f>
        <v>0</v>
      </c>
      <c r="D146" s="37" t="n">
        <f aca="false">E146+F146</f>
        <v>0</v>
      </c>
      <c r="E146" s="37" t="n">
        <f aca="false">IF(B146&lt;=$D$6,C146*$D$5/12,0)</f>
        <v>0</v>
      </c>
      <c r="F146" s="37" t="n">
        <f aca="false">IF(B146&lt;=$D$6,IF(B146=$D$6,C146,MIN($D$7-E146,C146)),0)</f>
        <v>0</v>
      </c>
      <c r="G146" s="37" t="n">
        <f aca="false">C146-F146</f>
        <v>0</v>
      </c>
    </row>
    <row r="147" customFormat="false" ht="15" hidden="false" customHeight="false" outlineLevel="0" collapsed="false">
      <c r="B147" s="56" t="n">
        <v>134</v>
      </c>
      <c r="C147" s="37" t="n">
        <f aca="false">G146</f>
        <v>0</v>
      </c>
      <c r="D147" s="37" t="n">
        <f aca="false">E147+F147</f>
        <v>0</v>
      </c>
      <c r="E147" s="37" t="n">
        <f aca="false">IF(B147&lt;=$D$6,C147*$D$5/12,0)</f>
        <v>0</v>
      </c>
      <c r="F147" s="37" t="n">
        <f aca="false">IF(B147&lt;=$D$6,IF(B147=$D$6,C147,MIN($D$7-E147,C147)),0)</f>
        <v>0</v>
      </c>
      <c r="G147" s="37" t="n">
        <f aca="false">C147-F147</f>
        <v>0</v>
      </c>
    </row>
    <row r="148" customFormat="false" ht="15" hidden="false" customHeight="false" outlineLevel="0" collapsed="false">
      <c r="B148" s="56" t="n">
        <v>135</v>
      </c>
      <c r="C148" s="37" t="n">
        <f aca="false">G147</f>
        <v>0</v>
      </c>
      <c r="D148" s="37" t="n">
        <f aca="false">E148+F148</f>
        <v>0</v>
      </c>
      <c r="E148" s="37" t="n">
        <f aca="false">IF(B148&lt;=$D$6,C148*$D$5/12,0)</f>
        <v>0</v>
      </c>
      <c r="F148" s="37" t="n">
        <f aca="false">IF(B148&lt;=$D$6,IF(B148=$D$6,C148,MIN($D$7-E148,C148)),0)</f>
        <v>0</v>
      </c>
      <c r="G148" s="37" t="n">
        <f aca="false">C148-F148</f>
        <v>0</v>
      </c>
    </row>
    <row r="149" customFormat="false" ht="15" hidden="false" customHeight="false" outlineLevel="0" collapsed="false">
      <c r="B149" s="56" t="n">
        <v>136</v>
      </c>
      <c r="C149" s="37" t="n">
        <f aca="false">G148</f>
        <v>0</v>
      </c>
      <c r="D149" s="37" t="n">
        <f aca="false">E149+F149</f>
        <v>0</v>
      </c>
      <c r="E149" s="37" t="n">
        <f aca="false">IF(B149&lt;=$D$6,C149*$D$5/12,0)</f>
        <v>0</v>
      </c>
      <c r="F149" s="37" t="n">
        <f aca="false">IF(B149&lt;=$D$6,IF(B149=$D$6,C149,MIN($D$7-E149,C149)),0)</f>
        <v>0</v>
      </c>
      <c r="G149" s="37" t="n">
        <f aca="false">C149-F149</f>
        <v>0</v>
      </c>
    </row>
    <row r="150" customFormat="false" ht="15" hidden="false" customHeight="false" outlineLevel="0" collapsed="false">
      <c r="B150" s="56" t="n">
        <v>137</v>
      </c>
      <c r="C150" s="37" t="n">
        <f aca="false">G149</f>
        <v>0</v>
      </c>
      <c r="D150" s="37" t="n">
        <f aca="false">E150+F150</f>
        <v>0</v>
      </c>
      <c r="E150" s="37" t="n">
        <f aca="false">IF(B150&lt;=$D$6,C150*$D$5/12,0)</f>
        <v>0</v>
      </c>
      <c r="F150" s="37" t="n">
        <f aca="false">IF(B150&lt;=$D$6,IF(B150=$D$6,C150,MIN($D$7-E150,C150)),0)</f>
        <v>0</v>
      </c>
      <c r="G150" s="37" t="n">
        <f aca="false">C150-F150</f>
        <v>0</v>
      </c>
    </row>
    <row r="151" customFormat="false" ht="15" hidden="false" customHeight="false" outlineLevel="0" collapsed="false">
      <c r="B151" s="56" t="n">
        <v>138</v>
      </c>
      <c r="C151" s="37" t="n">
        <f aca="false">G150</f>
        <v>0</v>
      </c>
      <c r="D151" s="37" t="n">
        <f aca="false">E151+F151</f>
        <v>0</v>
      </c>
      <c r="E151" s="37" t="n">
        <f aca="false">IF(B151&lt;=$D$6,C151*$D$5/12,0)</f>
        <v>0</v>
      </c>
      <c r="F151" s="37" t="n">
        <f aca="false">IF(B151&lt;=$D$6,IF(B151=$D$6,C151,MIN($D$7-E151,C151)),0)</f>
        <v>0</v>
      </c>
      <c r="G151" s="37" t="n">
        <f aca="false">C151-F151</f>
        <v>0</v>
      </c>
    </row>
    <row r="152" customFormat="false" ht="15" hidden="false" customHeight="false" outlineLevel="0" collapsed="false">
      <c r="B152" s="56" t="n">
        <v>139</v>
      </c>
      <c r="C152" s="37" t="n">
        <f aca="false">G151</f>
        <v>0</v>
      </c>
      <c r="D152" s="37" t="n">
        <f aca="false">E152+F152</f>
        <v>0</v>
      </c>
      <c r="E152" s="37" t="n">
        <f aca="false">IF(B152&lt;=$D$6,C152*$D$5/12,0)</f>
        <v>0</v>
      </c>
      <c r="F152" s="37" t="n">
        <f aca="false">IF(B152&lt;=$D$6,IF(B152=$D$6,C152,MIN($D$7-E152,C152)),0)</f>
        <v>0</v>
      </c>
      <c r="G152" s="37" t="n">
        <f aca="false">C152-F152</f>
        <v>0</v>
      </c>
    </row>
    <row r="153" customFormat="false" ht="15" hidden="false" customHeight="false" outlineLevel="0" collapsed="false">
      <c r="B153" s="56" t="n">
        <v>140</v>
      </c>
      <c r="C153" s="37" t="n">
        <f aca="false">G152</f>
        <v>0</v>
      </c>
      <c r="D153" s="37" t="n">
        <f aca="false">E153+F153</f>
        <v>0</v>
      </c>
      <c r="E153" s="37" t="n">
        <f aca="false">IF(B153&lt;=$D$6,C153*$D$5/12,0)</f>
        <v>0</v>
      </c>
      <c r="F153" s="37" t="n">
        <f aca="false">IF(B153&lt;=$D$6,IF(B153=$D$6,C153,MIN($D$7-E153,C153)),0)</f>
        <v>0</v>
      </c>
      <c r="G153" s="37" t="n">
        <f aca="false">C153-F153</f>
        <v>0</v>
      </c>
    </row>
    <row r="154" customFormat="false" ht="15" hidden="false" customHeight="false" outlineLevel="0" collapsed="false">
      <c r="B154" s="56" t="n">
        <v>141</v>
      </c>
      <c r="C154" s="37" t="n">
        <f aca="false">G153</f>
        <v>0</v>
      </c>
      <c r="D154" s="37" t="n">
        <f aca="false">E154+F154</f>
        <v>0</v>
      </c>
      <c r="E154" s="37" t="n">
        <f aca="false">IF(B154&lt;=$D$6,C154*$D$5/12,0)</f>
        <v>0</v>
      </c>
      <c r="F154" s="37" t="n">
        <f aca="false">IF(B154&lt;=$D$6,IF(B154=$D$6,C154,MIN($D$7-E154,C154)),0)</f>
        <v>0</v>
      </c>
      <c r="G154" s="37" t="n">
        <f aca="false">C154-F154</f>
        <v>0</v>
      </c>
    </row>
    <row r="155" customFormat="false" ht="15" hidden="false" customHeight="false" outlineLevel="0" collapsed="false">
      <c r="B155" s="56" t="n">
        <v>142</v>
      </c>
      <c r="C155" s="37" t="n">
        <f aca="false">G154</f>
        <v>0</v>
      </c>
      <c r="D155" s="37" t="n">
        <f aca="false">E155+F155</f>
        <v>0</v>
      </c>
      <c r="E155" s="37" t="n">
        <f aca="false">IF(B155&lt;=$D$6,C155*$D$5/12,0)</f>
        <v>0</v>
      </c>
      <c r="F155" s="37" t="n">
        <f aca="false">IF(B155&lt;=$D$6,IF(B155=$D$6,C155,MIN($D$7-E155,C155)),0)</f>
        <v>0</v>
      </c>
      <c r="G155" s="37" t="n">
        <f aca="false">C155-F155</f>
        <v>0</v>
      </c>
    </row>
    <row r="156" customFormat="false" ht="15" hidden="false" customHeight="false" outlineLevel="0" collapsed="false">
      <c r="B156" s="56" t="n">
        <v>143</v>
      </c>
      <c r="C156" s="37" t="n">
        <f aca="false">G155</f>
        <v>0</v>
      </c>
      <c r="D156" s="37" t="n">
        <f aca="false">E156+F156</f>
        <v>0</v>
      </c>
      <c r="E156" s="37" t="n">
        <f aca="false">IF(B156&lt;=$D$6,C156*$D$5/12,0)</f>
        <v>0</v>
      </c>
      <c r="F156" s="37" t="n">
        <f aca="false">IF(B156&lt;=$D$6,IF(B156=$D$6,C156,MIN($D$7-E156,C156)),0)</f>
        <v>0</v>
      </c>
      <c r="G156" s="37" t="n">
        <f aca="false">C156-F156</f>
        <v>0</v>
      </c>
    </row>
    <row r="157" customFormat="false" ht="15" hidden="false" customHeight="false" outlineLevel="0" collapsed="false">
      <c r="B157" s="56" t="n">
        <v>144</v>
      </c>
      <c r="C157" s="37" t="n">
        <f aca="false">G156</f>
        <v>0</v>
      </c>
      <c r="D157" s="37" t="n">
        <f aca="false">E157+F157</f>
        <v>0</v>
      </c>
      <c r="E157" s="37" t="n">
        <f aca="false">IF(B157&lt;=$D$6,C157*$D$5/12,0)</f>
        <v>0</v>
      </c>
      <c r="F157" s="37" t="n">
        <f aca="false">IF(B157&lt;=$D$6,IF(B157=$D$6,C157,MIN($D$7-E157,C157)),0)</f>
        <v>0</v>
      </c>
      <c r="G157" s="37" t="n">
        <f aca="false">C157-F157</f>
        <v>0</v>
      </c>
    </row>
    <row r="158" customFormat="false" ht="15" hidden="false" customHeight="false" outlineLevel="0" collapsed="false">
      <c r="B158" s="56" t="n">
        <v>145</v>
      </c>
      <c r="C158" s="37" t="n">
        <f aca="false">G157</f>
        <v>0</v>
      </c>
      <c r="D158" s="37" t="n">
        <f aca="false">E158+F158</f>
        <v>0</v>
      </c>
      <c r="E158" s="37" t="n">
        <f aca="false">IF(B158&lt;=$D$6,C158*$D$5/12,0)</f>
        <v>0</v>
      </c>
      <c r="F158" s="37" t="n">
        <f aca="false">IF(B158&lt;=$D$6,IF(B158=$D$6,C158,MIN($D$7-E158,C158)),0)</f>
        <v>0</v>
      </c>
      <c r="G158" s="37" t="n">
        <f aca="false">C158-F158</f>
        <v>0</v>
      </c>
    </row>
    <row r="159" customFormat="false" ht="15" hidden="false" customHeight="false" outlineLevel="0" collapsed="false">
      <c r="B159" s="56" t="n">
        <v>146</v>
      </c>
      <c r="C159" s="37" t="n">
        <f aca="false">G158</f>
        <v>0</v>
      </c>
      <c r="D159" s="37" t="n">
        <f aca="false">E159+F159</f>
        <v>0</v>
      </c>
      <c r="E159" s="37" t="n">
        <f aca="false">IF(B159&lt;=$D$6,C159*$D$5/12,0)</f>
        <v>0</v>
      </c>
      <c r="F159" s="37" t="n">
        <f aca="false">IF(B159&lt;=$D$6,IF(B159=$D$6,C159,MIN($D$7-E159,C159)),0)</f>
        <v>0</v>
      </c>
      <c r="G159" s="37" t="n">
        <f aca="false">C159-F159</f>
        <v>0</v>
      </c>
    </row>
    <row r="160" customFormat="false" ht="15" hidden="false" customHeight="false" outlineLevel="0" collapsed="false">
      <c r="B160" s="56" t="n">
        <v>147</v>
      </c>
      <c r="C160" s="37" t="n">
        <f aca="false">G159</f>
        <v>0</v>
      </c>
      <c r="D160" s="37" t="n">
        <f aca="false">E160+F160</f>
        <v>0</v>
      </c>
      <c r="E160" s="37" t="n">
        <f aca="false">IF(B160&lt;=$D$6,C160*$D$5/12,0)</f>
        <v>0</v>
      </c>
      <c r="F160" s="37" t="n">
        <f aca="false">IF(B160&lt;=$D$6,IF(B160=$D$6,C160,MIN($D$7-E160,C160)),0)</f>
        <v>0</v>
      </c>
      <c r="G160" s="37" t="n">
        <f aca="false">C160-F160</f>
        <v>0</v>
      </c>
    </row>
    <row r="161" customFormat="false" ht="15" hidden="false" customHeight="false" outlineLevel="0" collapsed="false">
      <c r="B161" s="56" t="n">
        <v>148</v>
      </c>
      <c r="C161" s="37" t="n">
        <f aca="false">G160</f>
        <v>0</v>
      </c>
      <c r="D161" s="37" t="n">
        <f aca="false">E161+F161</f>
        <v>0</v>
      </c>
      <c r="E161" s="37" t="n">
        <f aca="false">IF(B161&lt;=$D$6,C161*$D$5/12,0)</f>
        <v>0</v>
      </c>
      <c r="F161" s="37" t="n">
        <f aca="false">IF(B161&lt;=$D$6,IF(B161=$D$6,C161,MIN($D$7-E161,C161)),0)</f>
        <v>0</v>
      </c>
      <c r="G161" s="37" t="n">
        <f aca="false">C161-F161</f>
        <v>0</v>
      </c>
    </row>
    <row r="162" customFormat="false" ht="15" hidden="false" customHeight="false" outlineLevel="0" collapsed="false">
      <c r="B162" s="56" t="n">
        <v>149</v>
      </c>
      <c r="C162" s="37" t="n">
        <f aca="false">G161</f>
        <v>0</v>
      </c>
      <c r="D162" s="37" t="n">
        <f aca="false">E162+F162</f>
        <v>0</v>
      </c>
      <c r="E162" s="37" t="n">
        <f aca="false">IF(B162&lt;=$D$6,C162*$D$5/12,0)</f>
        <v>0</v>
      </c>
      <c r="F162" s="37" t="n">
        <f aca="false">IF(B162&lt;=$D$6,IF(B162=$D$6,C162,MIN($D$7-E162,C162)),0)</f>
        <v>0</v>
      </c>
      <c r="G162" s="37" t="n">
        <f aca="false">C162-F162</f>
        <v>0</v>
      </c>
    </row>
    <row r="163" customFormat="false" ht="15" hidden="false" customHeight="false" outlineLevel="0" collapsed="false">
      <c r="B163" s="56" t="n">
        <v>150</v>
      </c>
      <c r="C163" s="37" t="n">
        <f aca="false">G162</f>
        <v>0</v>
      </c>
      <c r="D163" s="37" t="n">
        <f aca="false">E163+F163</f>
        <v>0</v>
      </c>
      <c r="E163" s="37" t="n">
        <f aca="false">IF(B163&lt;=$D$6,C163*$D$5/12,0)</f>
        <v>0</v>
      </c>
      <c r="F163" s="37" t="n">
        <f aca="false">IF(B163&lt;=$D$6,IF(B163=$D$6,C163,MIN($D$7-E163,C163)),0)</f>
        <v>0</v>
      </c>
      <c r="G163" s="37" t="n">
        <f aca="false">C163-F163</f>
        <v>0</v>
      </c>
    </row>
    <row r="164" customFormat="false" ht="15" hidden="false" customHeight="false" outlineLevel="0" collapsed="false">
      <c r="B164" s="56" t="n">
        <v>151</v>
      </c>
      <c r="C164" s="37" t="n">
        <f aca="false">G163</f>
        <v>0</v>
      </c>
      <c r="D164" s="37" t="n">
        <f aca="false">E164+F164</f>
        <v>0</v>
      </c>
      <c r="E164" s="37" t="n">
        <f aca="false">IF(B164&lt;=$D$6,C164*$D$5/12,0)</f>
        <v>0</v>
      </c>
      <c r="F164" s="37" t="n">
        <f aca="false">IF(B164&lt;=$D$6,IF(B164=$D$6,C164,MIN($D$7-E164,C164)),0)</f>
        <v>0</v>
      </c>
      <c r="G164" s="37" t="n">
        <f aca="false">C164-F164</f>
        <v>0</v>
      </c>
    </row>
    <row r="165" customFormat="false" ht="15" hidden="false" customHeight="false" outlineLevel="0" collapsed="false">
      <c r="B165" s="56" t="n">
        <v>152</v>
      </c>
      <c r="C165" s="37" t="n">
        <f aca="false">G164</f>
        <v>0</v>
      </c>
      <c r="D165" s="37" t="n">
        <f aca="false">E165+F165</f>
        <v>0</v>
      </c>
      <c r="E165" s="37" t="n">
        <f aca="false">IF(B165&lt;=$D$6,C165*$D$5/12,0)</f>
        <v>0</v>
      </c>
      <c r="F165" s="37" t="n">
        <f aca="false">IF(B165&lt;=$D$6,IF(B165=$D$6,C165,MIN($D$7-E165,C165)),0)</f>
        <v>0</v>
      </c>
      <c r="G165" s="37" t="n">
        <f aca="false">C165-F165</f>
        <v>0</v>
      </c>
    </row>
    <row r="166" customFormat="false" ht="15" hidden="false" customHeight="false" outlineLevel="0" collapsed="false">
      <c r="B166" s="56" t="n">
        <v>153</v>
      </c>
      <c r="C166" s="37" t="n">
        <f aca="false">G165</f>
        <v>0</v>
      </c>
      <c r="D166" s="37" t="n">
        <f aca="false">E166+F166</f>
        <v>0</v>
      </c>
      <c r="E166" s="37" t="n">
        <f aca="false">IF(B166&lt;=$D$6,C166*$D$5/12,0)</f>
        <v>0</v>
      </c>
      <c r="F166" s="37" t="n">
        <f aca="false">IF(B166&lt;=$D$6,IF(B166=$D$6,C166,MIN($D$7-E166,C166)),0)</f>
        <v>0</v>
      </c>
      <c r="G166" s="37" t="n">
        <f aca="false">C166-F166</f>
        <v>0</v>
      </c>
    </row>
    <row r="167" customFormat="false" ht="15" hidden="false" customHeight="false" outlineLevel="0" collapsed="false">
      <c r="B167" s="56" t="n">
        <v>154</v>
      </c>
      <c r="C167" s="37" t="n">
        <f aca="false">G166</f>
        <v>0</v>
      </c>
      <c r="D167" s="37" t="n">
        <f aca="false">E167+F167</f>
        <v>0</v>
      </c>
      <c r="E167" s="37" t="n">
        <f aca="false">IF(B167&lt;=$D$6,C167*$D$5/12,0)</f>
        <v>0</v>
      </c>
      <c r="F167" s="37" t="n">
        <f aca="false">IF(B167&lt;=$D$6,IF(B167=$D$6,C167,MIN($D$7-E167,C167)),0)</f>
        <v>0</v>
      </c>
      <c r="G167" s="37" t="n">
        <f aca="false">C167-F167</f>
        <v>0</v>
      </c>
    </row>
    <row r="168" customFormat="false" ht="15" hidden="false" customHeight="false" outlineLevel="0" collapsed="false">
      <c r="B168" s="56" t="n">
        <v>155</v>
      </c>
      <c r="C168" s="37" t="n">
        <f aca="false">G167</f>
        <v>0</v>
      </c>
      <c r="D168" s="37" t="n">
        <f aca="false">E168+F168</f>
        <v>0</v>
      </c>
      <c r="E168" s="37" t="n">
        <f aca="false">IF(B168&lt;=$D$6,C168*$D$5/12,0)</f>
        <v>0</v>
      </c>
      <c r="F168" s="37" t="n">
        <f aca="false">IF(B168&lt;=$D$6,IF(B168=$D$6,C168,MIN($D$7-E168,C168)),0)</f>
        <v>0</v>
      </c>
      <c r="G168" s="37" t="n">
        <f aca="false">C168-F168</f>
        <v>0</v>
      </c>
    </row>
    <row r="169" customFormat="false" ht="15" hidden="false" customHeight="false" outlineLevel="0" collapsed="false">
      <c r="B169" s="56" t="n">
        <v>156</v>
      </c>
      <c r="C169" s="37" t="n">
        <f aca="false">G168</f>
        <v>0</v>
      </c>
      <c r="D169" s="37" t="n">
        <f aca="false">E169+F169</f>
        <v>0</v>
      </c>
      <c r="E169" s="37" t="n">
        <f aca="false">IF(B169&lt;=$D$6,C169*$D$5/12,0)</f>
        <v>0</v>
      </c>
      <c r="F169" s="37" t="n">
        <f aca="false">IF(B169&lt;=$D$6,IF(B169=$D$6,C169,MIN($D$7-E169,C169)),0)</f>
        <v>0</v>
      </c>
      <c r="G169" s="37" t="n">
        <f aca="false">C169-F169</f>
        <v>0</v>
      </c>
    </row>
    <row r="170" customFormat="false" ht="15" hidden="false" customHeight="false" outlineLevel="0" collapsed="false">
      <c r="B170" s="56" t="n">
        <v>157</v>
      </c>
      <c r="C170" s="37" t="n">
        <f aca="false">G169</f>
        <v>0</v>
      </c>
      <c r="D170" s="37" t="n">
        <f aca="false">E170+F170</f>
        <v>0</v>
      </c>
      <c r="E170" s="37" t="n">
        <f aca="false">IF(B170&lt;=$D$6,C170*$D$5/12,0)</f>
        <v>0</v>
      </c>
      <c r="F170" s="37" t="n">
        <f aca="false">IF(B170&lt;=$D$6,IF(B170=$D$6,C170,MIN($D$7-E170,C170)),0)</f>
        <v>0</v>
      </c>
      <c r="G170" s="37" t="n">
        <f aca="false">C170-F170</f>
        <v>0</v>
      </c>
    </row>
    <row r="171" customFormat="false" ht="15" hidden="false" customHeight="false" outlineLevel="0" collapsed="false">
      <c r="B171" s="56" t="n">
        <v>158</v>
      </c>
      <c r="C171" s="37" t="n">
        <f aca="false">G170</f>
        <v>0</v>
      </c>
      <c r="D171" s="37" t="n">
        <f aca="false">E171+F171</f>
        <v>0</v>
      </c>
      <c r="E171" s="37" t="n">
        <f aca="false">IF(B171&lt;=$D$6,C171*$D$5/12,0)</f>
        <v>0</v>
      </c>
      <c r="F171" s="37" t="n">
        <f aca="false">IF(B171&lt;=$D$6,IF(B171=$D$6,C171,MIN($D$7-E171,C171)),0)</f>
        <v>0</v>
      </c>
      <c r="G171" s="37" t="n">
        <f aca="false">C171-F171</f>
        <v>0</v>
      </c>
    </row>
    <row r="172" customFormat="false" ht="15" hidden="false" customHeight="false" outlineLevel="0" collapsed="false">
      <c r="B172" s="56" t="n">
        <v>159</v>
      </c>
      <c r="C172" s="37" t="n">
        <f aca="false">G171</f>
        <v>0</v>
      </c>
      <c r="D172" s="37" t="n">
        <f aca="false">E172+F172</f>
        <v>0</v>
      </c>
      <c r="E172" s="37" t="n">
        <f aca="false">IF(B172&lt;=$D$6,C172*$D$5/12,0)</f>
        <v>0</v>
      </c>
      <c r="F172" s="37" t="n">
        <f aca="false">IF(B172&lt;=$D$6,IF(B172=$D$6,C172,MIN($D$7-E172,C172)),0)</f>
        <v>0</v>
      </c>
      <c r="G172" s="37" t="n">
        <f aca="false">C172-F172</f>
        <v>0</v>
      </c>
    </row>
    <row r="173" customFormat="false" ht="15" hidden="false" customHeight="false" outlineLevel="0" collapsed="false">
      <c r="B173" s="56" t="n">
        <v>160</v>
      </c>
      <c r="C173" s="37" t="n">
        <f aca="false">G172</f>
        <v>0</v>
      </c>
      <c r="D173" s="37" t="n">
        <f aca="false">E173+F173</f>
        <v>0</v>
      </c>
      <c r="E173" s="37" t="n">
        <f aca="false">IF(B173&lt;=$D$6,C173*$D$5/12,0)</f>
        <v>0</v>
      </c>
      <c r="F173" s="37" t="n">
        <f aca="false">IF(B173&lt;=$D$6,IF(B173=$D$6,C173,MIN($D$7-E173,C173)),0)</f>
        <v>0</v>
      </c>
      <c r="G173" s="37" t="n">
        <f aca="false">C173-F173</f>
        <v>0</v>
      </c>
    </row>
    <row r="174" customFormat="false" ht="15" hidden="false" customHeight="false" outlineLevel="0" collapsed="false">
      <c r="B174" s="56" t="n">
        <v>161</v>
      </c>
      <c r="C174" s="37" t="n">
        <f aca="false">G173</f>
        <v>0</v>
      </c>
      <c r="D174" s="37" t="n">
        <f aca="false">E174+F174</f>
        <v>0</v>
      </c>
      <c r="E174" s="37" t="n">
        <f aca="false">IF(B174&lt;=$D$6,C174*$D$5/12,0)</f>
        <v>0</v>
      </c>
      <c r="F174" s="37" t="n">
        <f aca="false">IF(B174&lt;=$D$6,IF(B174=$D$6,C174,MIN($D$7-E174,C174)),0)</f>
        <v>0</v>
      </c>
      <c r="G174" s="37" t="n">
        <f aca="false">C174-F174</f>
        <v>0</v>
      </c>
    </row>
    <row r="175" customFormat="false" ht="15" hidden="false" customHeight="false" outlineLevel="0" collapsed="false">
      <c r="B175" s="56" t="n">
        <v>162</v>
      </c>
      <c r="C175" s="37" t="n">
        <f aca="false">G174</f>
        <v>0</v>
      </c>
      <c r="D175" s="37" t="n">
        <f aca="false">E175+F175</f>
        <v>0</v>
      </c>
      <c r="E175" s="37" t="n">
        <f aca="false">IF(B175&lt;=$D$6,C175*$D$5/12,0)</f>
        <v>0</v>
      </c>
      <c r="F175" s="37" t="n">
        <f aca="false">IF(B175&lt;=$D$6,IF(B175=$D$6,C175,MIN($D$7-E175,C175)),0)</f>
        <v>0</v>
      </c>
      <c r="G175" s="37" t="n">
        <f aca="false">C175-F175</f>
        <v>0</v>
      </c>
    </row>
    <row r="176" customFormat="false" ht="15" hidden="false" customHeight="false" outlineLevel="0" collapsed="false">
      <c r="B176" s="56" t="n">
        <v>163</v>
      </c>
      <c r="C176" s="37" t="n">
        <f aca="false">G175</f>
        <v>0</v>
      </c>
      <c r="D176" s="37" t="n">
        <f aca="false">E176+F176</f>
        <v>0</v>
      </c>
      <c r="E176" s="37" t="n">
        <f aca="false">IF(B176&lt;=$D$6,C176*$D$5/12,0)</f>
        <v>0</v>
      </c>
      <c r="F176" s="37" t="n">
        <f aca="false">IF(B176&lt;=$D$6,IF(B176=$D$6,C176,MIN($D$7-E176,C176)),0)</f>
        <v>0</v>
      </c>
      <c r="G176" s="37" t="n">
        <f aca="false">C176-F176</f>
        <v>0</v>
      </c>
    </row>
    <row r="177" customFormat="false" ht="15" hidden="false" customHeight="false" outlineLevel="0" collapsed="false">
      <c r="B177" s="56" t="n">
        <v>164</v>
      </c>
      <c r="C177" s="37" t="n">
        <f aca="false">G176</f>
        <v>0</v>
      </c>
      <c r="D177" s="37" t="n">
        <f aca="false">E177+F177</f>
        <v>0</v>
      </c>
      <c r="E177" s="37" t="n">
        <f aca="false">IF(B177&lt;=$D$6,C177*$D$5/12,0)</f>
        <v>0</v>
      </c>
      <c r="F177" s="37" t="n">
        <f aca="false">IF(B177&lt;=$D$6,IF(B177=$D$6,C177,MIN($D$7-E177,C177)),0)</f>
        <v>0</v>
      </c>
      <c r="G177" s="37" t="n">
        <f aca="false">C177-F177</f>
        <v>0</v>
      </c>
    </row>
    <row r="178" customFormat="false" ht="15" hidden="false" customHeight="false" outlineLevel="0" collapsed="false">
      <c r="B178" s="56" t="n">
        <v>165</v>
      </c>
      <c r="C178" s="37" t="n">
        <f aca="false">G177</f>
        <v>0</v>
      </c>
      <c r="D178" s="37" t="n">
        <f aca="false">E178+F178</f>
        <v>0</v>
      </c>
      <c r="E178" s="37" t="n">
        <f aca="false">IF(B178&lt;=$D$6,C178*$D$5/12,0)</f>
        <v>0</v>
      </c>
      <c r="F178" s="37" t="n">
        <f aca="false">IF(B178&lt;=$D$6,IF(B178=$D$6,C178,MIN($D$7-E178,C178)),0)</f>
        <v>0</v>
      </c>
      <c r="G178" s="37" t="n">
        <f aca="false">C178-F178</f>
        <v>0</v>
      </c>
    </row>
    <row r="179" customFormat="false" ht="15" hidden="false" customHeight="false" outlineLevel="0" collapsed="false">
      <c r="B179" s="56" t="n">
        <v>166</v>
      </c>
      <c r="C179" s="37" t="n">
        <f aca="false">G178</f>
        <v>0</v>
      </c>
      <c r="D179" s="37" t="n">
        <f aca="false">E179+F179</f>
        <v>0</v>
      </c>
      <c r="E179" s="37" t="n">
        <f aca="false">IF(B179&lt;=$D$6,C179*$D$5/12,0)</f>
        <v>0</v>
      </c>
      <c r="F179" s="37" t="n">
        <f aca="false">IF(B179&lt;=$D$6,IF(B179=$D$6,C179,MIN($D$7-E179,C179)),0)</f>
        <v>0</v>
      </c>
      <c r="G179" s="37" t="n">
        <f aca="false">C179-F179</f>
        <v>0</v>
      </c>
    </row>
    <row r="180" customFormat="false" ht="15" hidden="false" customHeight="false" outlineLevel="0" collapsed="false">
      <c r="B180" s="56" t="n">
        <v>167</v>
      </c>
      <c r="C180" s="37" t="n">
        <f aca="false">G179</f>
        <v>0</v>
      </c>
      <c r="D180" s="37" t="n">
        <f aca="false">E180+F180</f>
        <v>0</v>
      </c>
      <c r="E180" s="37" t="n">
        <f aca="false">IF(B180&lt;=$D$6,C180*$D$5/12,0)</f>
        <v>0</v>
      </c>
      <c r="F180" s="37" t="n">
        <f aca="false">IF(B180&lt;=$D$6,IF(B180=$D$6,C180,MIN($D$7-E180,C180)),0)</f>
        <v>0</v>
      </c>
      <c r="G180" s="37" t="n">
        <f aca="false">C180-F180</f>
        <v>0</v>
      </c>
    </row>
    <row r="181" customFormat="false" ht="15" hidden="false" customHeight="false" outlineLevel="0" collapsed="false">
      <c r="B181" s="56" t="n">
        <v>168</v>
      </c>
      <c r="C181" s="37" t="n">
        <f aca="false">G180</f>
        <v>0</v>
      </c>
      <c r="D181" s="37" t="n">
        <f aca="false">E181+F181</f>
        <v>0</v>
      </c>
      <c r="E181" s="37" t="n">
        <f aca="false">IF(B181&lt;=$D$6,C181*$D$5/12,0)</f>
        <v>0</v>
      </c>
      <c r="F181" s="37" t="n">
        <f aca="false">IF(B181&lt;=$D$6,IF(B181=$D$6,C181,MIN($D$7-E181,C181)),0)</f>
        <v>0</v>
      </c>
      <c r="G181" s="37" t="n">
        <f aca="false">C181-F181</f>
        <v>0</v>
      </c>
    </row>
    <row r="182" customFormat="false" ht="15" hidden="false" customHeight="false" outlineLevel="0" collapsed="false">
      <c r="B182" s="56" t="n">
        <v>169</v>
      </c>
      <c r="C182" s="37" t="n">
        <f aca="false">G181</f>
        <v>0</v>
      </c>
      <c r="D182" s="37" t="n">
        <f aca="false">E182+F182</f>
        <v>0</v>
      </c>
      <c r="E182" s="37" t="n">
        <f aca="false">IF(B182&lt;=$D$6,C182*$D$5/12,0)</f>
        <v>0</v>
      </c>
      <c r="F182" s="37" t="n">
        <f aca="false">IF(B182&lt;=$D$6,IF(B182=$D$6,C182,MIN($D$7-E182,C182)),0)</f>
        <v>0</v>
      </c>
      <c r="G182" s="37" t="n">
        <f aca="false">C182-F182</f>
        <v>0</v>
      </c>
    </row>
    <row r="183" customFormat="false" ht="15" hidden="false" customHeight="false" outlineLevel="0" collapsed="false">
      <c r="B183" s="56" t="n">
        <v>170</v>
      </c>
      <c r="C183" s="37" t="n">
        <f aca="false">G182</f>
        <v>0</v>
      </c>
      <c r="D183" s="37" t="n">
        <f aca="false">E183+F183</f>
        <v>0</v>
      </c>
      <c r="E183" s="37" t="n">
        <f aca="false">IF(B183&lt;=$D$6,C183*$D$5/12,0)</f>
        <v>0</v>
      </c>
      <c r="F183" s="37" t="n">
        <f aca="false">IF(B183&lt;=$D$6,IF(B183=$D$6,C183,MIN($D$7-E183,C183)),0)</f>
        <v>0</v>
      </c>
      <c r="G183" s="37" t="n">
        <f aca="false">C183-F183</f>
        <v>0</v>
      </c>
    </row>
    <row r="184" customFormat="false" ht="15" hidden="false" customHeight="false" outlineLevel="0" collapsed="false">
      <c r="B184" s="56" t="n">
        <v>171</v>
      </c>
      <c r="C184" s="37" t="n">
        <f aca="false">G183</f>
        <v>0</v>
      </c>
      <c r="D184" s="37" t="n">
        <f aca="false">E184+F184</f>
        <v>0</v>
      </c>
      <c r="E184" s="37" t="n">
        <f aca="false">IF(B184&lt;=$D$6,C184*$D$5/12,0)</f>
        <v>0</v>
      </c>
      <c r="F184" s="37" t="n">
        <f aca="false">IF(B184&lt;=$D$6,IF(B184=$D$6,C184,MIN($D$7-E184,C184)),0)</f>
        <v>0</v>
      </c>
      <c r="G184" s="37" t="n">
        <f aca="false">C184-F184</f>
        <v>0</v>
      </c>
    </row>
    <row r="185" customFormat="false" ht="15" hidden="false" customHeight="false" outlineLevel="0" collapsed="false">
      <c r="B185" s="56" t="n">
        <v>172</v>
      </c>
      <c r="C185" s="37" t="n">
        <f aca="false">G184</f>
        <v>0</v>
      </c>
      <c r="D185" s="37" t="n">
        <f aca="false">E185+F185</f>
        <v>0</v>
      </c>
      <c r="E185" s="37" t="n">
        <f aca="false">IF(B185&lt;=$D$6,C185*$D$5/12,0)</f>
        <v>0</v>
      </c>
      <c r="F185" s="37" t="n">
        <f aca="false">IF(B185&lt;=$D$6,IF(B185=$D$6,C185,MIN($D$7-E185,C185)),0)</f>
        <v>0</v>
      </c>
      <c r="G185" s="37" t="n">
        <f aca="false">C185-F185</f>
        <v>0</v>
      </c>
    </row>
    <row r="186" customFormat="false" ht="15" hidden="false" customHeight="false" outlineLevel="0" collapsed="false">
      <c r="B186" s="56" t="n">
        <v>173</v>
      </c>
      <c r="C186" s="37" t="n">
        <f aca="false">G185</f>
        <v>0</v>
      </c>
      <c r="D186" s="37" t="n">
        <f aca="false">E186+F186</f>
        <v>0</v>
      </c>
      <c r="E186" s="37" t="n">
        <f aca="false">IF(B186&lt;=$D$6,C186*$D$5/12,0)</f>
        <v>0</v>
      </c>
      <c r="F186" s="37" t="n">
        <f aca="false">IF(B186&lt;=$D$6,IF(B186=$D$6,C186,MIN($D$7-E186,C186)),0)</f>
        <v>0</v>
      </c>
      <c r="G186" s="37" t="n">
        <f aca="false">C186-F186</f>
        <v>0</v>
      </c>
    </row>
    <row r="187" customFormat="false" ht="15" hidden="false" customHeight="false" outlineLevel="0" collapsed="false">
      <c r="B187" s="56" t="n">
        <v>174</v>
      </c>
      <c r="C187" s="37" t="n">
        <f aca="false">G186</f>
        <v>0</v>
      </c>
      <c r="D187" s="37" t="n">
        <f aca="false">E187+F187</f>
        <v>0</v>
      </c>
      <c r="E187" s="37" t="n">
        <f aca="false">IF(B187&lt;=$D$6,C187*$D$5/12,0)</f>
        <v>0</v>
      </c>
      <c r="F187" s="37" t="n">
        <f aca="false">IF(B187&lt;=$D$6,IF(B187=$D$6,C187,MIN($D$7-E187,C187)),0)</f>
        <v>0</v>
      </c>
      <c r="G187" s="37" t="n">
        <f aca="false">C187-F187</f>
        <v>0</v>
      </c>
    </row>
    <row r="188" customFormat="false" ht="15" hidden="false" customHeight="false" outlineLevel="0" collapsed="false">
      <c r="B188" s="56" t="n">
        <v>175</v>
      </c>
      <c r="C188" s="37" t="n">
        <f aca="false">G187</f>
        <v>0</v>
      </c>
      <c r="D188" s="37" t="n">
        <f aca="false">E188+F188</f>
        <v>0</v>
      </c>
      <c r="E188" s="37" t="n">
        <f aca="false">IF(B188&lt;=$D$6,C188*$D$5/12,0)</f>
        <v>0</v>
      </c>
      <c r="F188" s="37" t="n">
        <f aca="false">IF(B188&lt;=$D$6,IF(B188=$D$6,C188,MIN($D$7-E188,C188)),0)</f>
        <v>0</v>
      </c>
      <c r="G188" s="37" t="n">
        <f aca="false">C188-F188</f>
        <v>0</v>
      </c>
    </row>
    <row r="189" customFormat="false" ht="15" hidden="false" customHeight="false" outlineLevel="0" collapsed="false">
      <c r="B189" s="56" t="n">
        <v>176</v>
      </c>
      <c r="C189" s="37" t="n">
        <f aca="false">G188</f>
        <v>0</v>
      </c>
      <c r="D189" s="37" t="n">
        <f aca="false">E189+F189</f>
        <v>0</v>
      </c>
      <c r="E189" s="37" t="n">
        <f aca="false">IF(B189&lt;=$D$6,C189*$D$5/12,0)</f>
        <v>0</v>
      </c>
      <c r="F189" s="37" t="n">
        <f aca="false">IF(B189&lt;=$D$6,IF(B189=$D$6,C189,MIN($D$7-E189,C189)),0)</f>
        <v>0</v>
      </c>
      <c r="G189" s="37" t="n">
        <f aca="false">C189-F189</f>
        <v>0</v>
      </c>
    </row>
    <row r="190" customFormat="false" ht="15" hidden="false" customHeight="false" outlineLevel="0" collapsed="false">
      <c r="B190" s="56" t="n">
        <v>177</v>
      </c>
      <c r="C190" s="37" t="n">
        <f aca="false">G189</f>
        <v>0</v>
      </c>
      <c r="D190" s="37" t="n">
        <f aca="false">E190+F190</f>
        <v>0</v>
      </c>
      <c r="E190" s="37" t="n">
        <f aca="false">IF(B190&lt;=$D$6,C190*$D$5/12,0)</f>
        <v>0</v>
      </c>
      <c r="F190" s="37" t="n">
        <f aca="false">IF(B190&lt;=$D$6,IF(B190=$D$6,C190,MIN($D$7-E190,C190)),0)</f>
        <v>0</v>
      </c>
      <c r="G190" s="37" t="n">
        <f aca="false">C190-F190</f>
        <v>0</v>
      </c>
    </row>
    <row r="191" customFormat="false" ht="15" hidden="false" customHeight="false" outlineLevel="0" collapsed="false">
      <c r="B191" s="56" t="n">
        <v>178</v>
      </c>
      <c r="C191" s="37" t="n">
        <f aca="false">G190</f>
        <v>0</v>
      </c>
      <c r="D191" s="37" t="n">
        <f aca="false">E191+F191</f>
        <v>0</v>
      </c>
      <c r="E191" s="37" t="n">
        <f aca="false">IF(B191&lt;=$D$6,C191*$D$5/12,0)</f>
        <v>0</v>
      </c>
      <c r="F191" s="37" t="n">
        <f aca="false">IF(B191&lt;=$D$6,IF(B191=$D$6,C191,MIN($D$7-E191,C191)),0)</f>
        <v>0</v>
      </c>
      <c r="G191" s="37" t="n">
        <f aca="false">C191-F191</f>
        <v>0</v>
      </c>
    </row>
    <row r="192" customFormat="false" ht="15" hidden="false" customHeight="false" outlineLevel="0" collapsed="false">
      <c r="B192" s="56" t="n">
        <v>179</v>
      </c>
      <c r="C192" s="37" t="n">
        <f aca="false">G191</f>
        <v>0</v>
      </c>
      <c r="D192" s="37" t="n">
        <f aca="false">E192+F192</f>
        <v>0</v>
      </c>
      <c r="E192" s="37" t="n">
        <f aca="false">IF(B192&lt;=$D$6,C192*$D$5/12,0)</f>
        <v>0</v>
      </c>
      <c r="F192" s="37" t="n">
        <f aca="false">IF(B192&lt;=$D$6,IF(B192=$D$6,C192,MIN($D$7-E192,C192)),0)</f>
        <v>0</v>
      </c>
      <c r="G192" s="37" t="n">
        <f aca="false">C192-F192</f>
        <v>0</v>
      </c>
    </row>
    <row r="193" customFormat="false" ht="15" hidden="false" customHeight="false" outlineLevel="0" collapsed="false">
      <c r="B193" s="56" t="n">
        <v>180</v>
      </c>
      <c r="C193" s="37" t="n">
        <f aca="false">G192</f>
        <v>0</v>
      </c>
      <c r="D193" s="37" t="n">
        <f aca="false">E193+F193</f>
        <v>0</v>
      </c>
      <c r="E193" s="37" t="n">
        <f aca="false">IF(B193&lt;=$D$6,C193*$D$5/12,0)</f>
        <v>0</v>
      </c>
      <c r="F193" s="37" t="n">
        <f aca="false">IF(B193&lt;=$D$6,IF(B193=$D$6,C193,MIN($D$7-E193,C193)),0)</f>
        <v>0</v>
      </c>
      <c r="G193" s="37" t="n">
        <f aca="false">C193-F193</f>
        <v>0</v>
      </c>
    </row>
    <row r="194" customFormat="false" ht="15" hidden="false" customHeight="false" outlineLevel="0" collapsed="false">
      <c r="B194" s="56" t="n">
        <v>181</v>
      </c>
      <c r="C194" s="37" t="n">
        <f aca="false">G193</f>
        <v>0</v>
      </c>
      <c r="D194" s="37" t="n">
        <f aca="false">E194+F194</f>
        <v>0</v>
      </c>
      <c r="E194" s="37" t="n">
        <f aca="false">IF(B194&lt;=$D$6,C194*$D$5/12,0)</f>
        <v>0</v>
      </c>
      <c r="F194" s="37" t="n">
        <f aca="false">IF(B194&lt;=$D$6,IF(B194=$D$6,C194,MIN($D$7-E194,C194)),0)</f>
        <v>0</v>
      </c>
      <c r="G194" s="37" t="n">
        <f aca="false">C194-F194</f>
        <v>0</v>
      </c>
    </row>
    <row r="195" customFormat="false" ht="15" hidden="false" customHeight="false" outlineLevel="0" collapsed="false">
      <c r="B195" s="56" t="n">
        <v>182</v>
      </c>
      <c r="C195" s="37" t="n">
        <f aca="false">G194</f>
        <v>0</v>
      </c>
      <c r="D195" s="37" t="n">
        <f aca="false">E195+F195</f>
        <v>0</v>
      </c>
      <c r="E195" s="37" t="n">
        <f aca="false">IF(B195&lt;=$D$6,C195*$D$5/12,0)</f>
        <v>0</v>
      </c>
      <c r="F195" s="37" t="n">
        <f aca="false">IF(B195&lt;=$D$6,IF(B195=$D$6,C195,MIN($D$7-E195,C195)),0)</f>
        <v>0</v>
      </c>
      <c r="G195" s="37" t="n">
        <f aca="false">C195-F195</f>
        <v>0</v>
      </c>
    </row>
    <row r="196" customFormat="false" ht="15" hidden="false" customHeight="false" outlineLevel="0" collapsed="false">
      <c r="B196" s="56" t="n">
        <v>183</v>
      </c>
      <c r="C196" s="37" t="n">
        <f aca="false">G195</f>
        <v>0</v>
      </c>
      <c r="D196" s="37" t="n">
        <f aca="false">E196+F196</f>
        <v>0</v>
      </c>
      <c r="E196" s="37" t="n">
        <f aca="false">IF(B196&lt;=$D$6,C196*$D$5/12,0)</f>
        <v>0</v>
      </c>
      <c r="F196" s="37" t="n">
        <f aca="false">IF(B196&lt;=$D$6,IF(B196=$D$6,C196,MIN($D$7-E196,C196)),0)</f>
        <v>0</v>
      </c>
      <c r="G196" s="37" t="n">
        <f aca="false">C196-F196</f>
        <v>0</v>
      </c>
    </row>
    <row r="197" customFormat="false" ht="15" hidden="false" customHeight="false" outlineLevel="0" collapsed="false">
      <c r="B197" s="56" t="n">
        <v>184</v>
      </c>
      <c r="C197" s="37" t="n">
        <f aca="false">G196</f>
        <v>0</v>
      </c>
      <c r="D197" s="37" t="n">
        <f aca="false">E197+F197</f>
        <v>0</v>
      </c>
      <c r="E197" s="37" t="n">
        <f aca="false">IF(B197&lt;=$D$6,C197*$D$5/12,0)</f>
        <v>0</v>
      </c>
      <c r="F197" s="37" t="n">
        <f aca="false">IF(B197&lt;=$D$6,IF(B197=$D$6,C197,MIN($D$7-E197,C197)),0)</f>
        <v>0</v>
      </c>
      <c r="G197" s="37" t="n">
        <f aca="false">C197-F197</f>
        <v>0</v>
      </c>
    </row>
    <row r="198" customFormat="false" ht="15" hidden="false" customHeight="false" outlineLevel="0" collapsed="false">
      <c r="B198" s="56" t="n">
        <v>185</v>
      </c>
      <c r="C198" s="37" t="n">
        <f aca="false">G197</f>
        <v>0</v>
      </c>
      <c r="D198" s="37" t="n">
        <f aca="false">E198+F198</f>
        <v>0</v>
      </c>
      <c r="E198" s="37" t="n">
        <f aca="false">IF(B198&lt;=$D$6,C198*$D$5/12,0)</f>
        <v>0</v>
      </c>
      <c r="F198" s="37" t="n">
        <f aca="false">IF(B198&lt;=$D$6,IF(B198=$D$6,C198,MIN($D$7-E198,C198)),0)</f>
        <v>0</v>
      </c>
      <c r="G198" s="37" t="n">
        <f aca="false">C198-F198</f>
        <v>0</v>
      </c>
    </row>
    <row r="199" customFormat="false" ht="15" hidden="false" customHeight="false" outlineLevel="0" collapsed="false">
      <c r="B199" s="56" t="n">
        <v>186</v>
      </c>
      <c r="C199" s="37" t="n">
        <f aca="false">G198</f>
        <v>0</v>
      </c>
      <c r="D199" s="37" t="n">
        <f aca="false">E199+F199</f>
        <v>0</v>
      </c>
      <c r="E199" s="37" t="n">
        <f aca="false">IF(B199&lt;=$D$6,C199*$D$5/12,0)</f>
        <v>0</v>
      </c>
      <c r="F199" s="37" t="n">
        <f aca="false">IF(B199&lt;=$D$6,IF(B199=$D$6,C199,MIN($D$7-E199,C199)),0)</f>
        <v>0</v>
      </c>
      <c r="G199" s="37" t="n">
        <f aca="false">C199-F199</f>
        <v>0</v>
      </c>
    </row>
    <row r="200" customFormat="false" ht="15" hidden="false" customHeight="false" outlineLevel="0" collapsed="false">
      <c r="B200" s="56" t="n">
        <v>187</v>
      </c>
      <c r="C200" s="37" t="n">
        <f aca="false">G199</f>
        <v>0</v>
      </c>
      <c r="D200" s="37" t="n">
        <f aca="false">E200+F200</f>
        <v>0</v>
      </c>
      <c r="E200" s="37" t="n">
        <f aca="false">IF(B200&lt;=$D$6,C200*$D$5/12,0)</f>
        <v>0</v>
      </c>
      <c r="F200" s="37" t="n">
        <f aca="false">IF(B200&lt;=$D$6,IF(B200=$D$6,C200,MIN($D$7-E200,C200)),0)</f>
        <v>0</v>
      </c>
      <c r="G200" s="37" t="n">
        <f aca="false">C200-F200</f>
        <v>0</v>
      </c>
    </row>
    <row r="201" customFormat="false" ht="15" hidden="false" customHeight="false" outlineLevel="0" collapsed="false">
      <c r="B201" s="56" t="n">
        <v>188</v>
      </c>
      <c r="C201" s="37" t="n">
        <f aca="false">G200</f>
        <v>0</v>
      </c>
      <c r="D201" s="37" t="n">
        <f aca="false">E201+F201</f>
        <v>0</v>
      </c>
      <c r="E201" s="37" t="n">
        <f aca="false">IF(B201&lt;=$D$6,C201*$D$5/12,0)</f>
        <v>0</v>
      </c>
      <c r="F201" s="37" t="n">
        <f aca="false">IF(B201&lt;=$D$6,IF(B201=$D$6,C201,MIN($D$7-E201,C201)),0)</f>
        <v>0</v>
      </c>
      <c r="G201" s="37" t="n">
        <f aca="false">C201-F201</f>
        <v>0</v>
      </c>
    </row>
    <row r="202" customFormat="false" ht="15" hidden="false" customHeight="false" outlineLevel="0" collapsed="false">
      <c r="B202" s="56" t="n">
        <v>189</v>
      </c>
      <c r="C202" s="37" t="n">
        <f aca="false">G201</f>
        <v>0</v>
      </c>
      <c r="D202" s="37" t="n">
        <f aca="false">E202+F202</f>
        <v>0</v>
      </c>
      <c r="E202" s="37" t="n">
        <f aca="false">IF(B202&lt;=$D$6,C202*$D$5/12,0)</f>
        <v>0</v>
      </c>
      <c r="F202" s="37" t="n">
        <f aca="false">IF(B202&lt;=$D$6,IF(B202=$D$6,C202,MIN($D$7-E202,C202)),0)</f>
        <v>0</v>
      </c>
      <c r="G202" s="37" t="n">
        <f aca="false">C202-F202</f>
        <v>0</v>
      </c>
    </row>
    <row r="203" customFormat="false" ht="15" hidden="false" customHeight="false" outlineLevel="0" collapsed="false">
      <c r="B203" s="56" t="n">
        <v>190</v>
      </c>
      <c r="C203" s="37" t="n">
        <f aca="false">G202</f>
        <v>0</v>
      </c>
      <c r="D203" s="37" t="n">
        <f aca="false">E203+F203</f>
        <v>0</v>
      </c>
      <c r="E203" s="37" t="n">
        <f aca="false">IF(B203&lt;=$D$6,C203*$D$5/12,0)</f>
        <v>0</v>
      </c>
      <c r="F203" s="37" t="n">
        <f aca="false">IF(B203&lt;=$D$6,IF(B203=$D$6,C203,MIN($D$7-E203,C203)),0)</f>
        <v>0</v>
      </c>
      <c r="G203" s="37" t="n">
        <f aca="false">C203-F203</f>
        <v>0</v>
      </c>
    </row>
    <row r="204" customFormat="false" ht="15" hidden="false" customHeight="false" outlineLevel="0" collapsed="false">
      <c r="B204" s="56" t="n">
        <v>191</v>
      </c>
      <c r="C204" s="37" t="n">
        <f aca="false">G203</f>
        <v>0</v>
      </c>
      <c r="D204" s="37" t="n">
        <f aca="false">E204+F204</f>
        <v>0</v>
      </c>
      <c r="E204" s="37" t="n">
        <f aca="false">IF(B204&lt;=$D$6,C204*$D$5/12,0)</f>
        <v>0</v>
      </c>
      <c r="F204" s="37" t="n">
        <f aca="false">IF(B204&lt;=$D$6,IF(B204=$D$6,C204,MIN($D$7-E204,C204)),0)</f>
        <v>0</v>
      </c>
      <c r="G204" s="37" t="n">
        <f aca="false">C204-F204</f>
        <v>0</v>
      </c>
    </row>
    <row r="205" customFormat="false" ht="15" hidden="false" customHeight="false" outlineLevel="0" collapsed="false">
      <c r="B205" s="56" t="n">
        <v>192</v>
      </c>
      <c r="C205" s="37" t="n">
        <f aca="false">G204</f>
        <v>0</v>
      </c>
      <c r="D205" s="37" t="n">
        <f aca="false">E205+F205</f>
        <v>0</v>
      </c>
      <c r="E205" s="37" t="n">
        <f aca="false">IF(B205&lt;=$D$6,C205*$D$5/12,0)</f>
        <v>0</v>
      </c>
      <c r="F205" s="37" t="n">
        <f aca="false">IF(B205&lt;=$D$6,IF(B205=$D$6,C205,MIN($D$7-E205,C205)),0)</f>
        <v>0</v>
      </c>
      <c r="G205" s="37" t="n">
        <f aca="false">C205-F205</f>
        <v>0</v>
      </c>
    </row>
    <row r="206" customFormat="false" ht="15" hidden="false" customHeight="false" outlineLevel="0" collapsed="false">
      <c r="B206" s="56" t="n">
        <v>193</v>
      </c>
      <c r="C206" s="37" t="n">
        <f aca="false">G205</f>
        <v>0</v>
      </c>
      <c r="D206" s="37" t="n">
        <f aca="false">E206+F206</f>
        <v>0</v>
      </c>
      <c r="E206" s="37" t="n">
        <f aca="false">IF(B206&lt;=$D$6,C206*$D$5/12,0)</f>
        <v>0</v>
      </c>
      <c r="F206" s="37" t="n">
        <f aca="false">IF(B206&lt;=$D$6,IF(B206=$D$6,C206,MIN($D$7-E206,C206)),0)</f>
        <v>0</v>
      </c>
      <c r="G206" s="37" t="n">
        <f aca="false">C206-F206</f>
        <v>0</v>
      </c>
    </row>
    <row r="207" customFormat="false" ht="15" hidden="false" customHeight="false" outlineLevel="0" collapsed="false">
      <c r="B207" s="56" t="n">
        <v>194</v>
      </c>
      <c r="C207" s="37" t="n">
        <f aca="false">G206</f>
        <v>0</v>
      </c>
      <c r="D207" s="37" t="n">
        <f aca="false">E207+F207</f>
        <v>0</v>
      </c>
      <c r="E207" s="37" t="n">
        <f aca="false">IF(B207&lt;=$D$6,C207*$D$5/12,0)</f>
        <v>0</v>
      </c>
      <c r="F207" s="37" t="n">
        <f aca="false">IF(B207&lt;=$D$6,IF(B207=$D$6,C207,MIN($D$7-E207,C207)),0)</f>
        <v>0</v>
      </c>
      <c r="G207" s="37" t="n">
        <f aca="false">C207-F207</f>
        <v>0</v>
      </c>
    </row>
    <row r="208" customFormat="false" ht="15" hidden="false" customHeight="false" outlineLevel="0" collapsed="false">
      <c r="B208" s="56" t="n">
        <v>195</v>
      </c>
      <c r="C208" s="37" t="n">
        <f aca="false">G207</f>
        <v>0</v>
      </c>
      <c r="D208" s="37" t="n">
        <f aca="false">E208+F208</f>
        <v>0</v>
      </c>
      <c r="E208" s="37" t="n">
        <f aca="false">IF(B208&lt;=$D$6,C208*$D$5/12,0)</f>
        <v>0</v>
      </c>
      <c r="F208" s="37" t="n">
        <f aca="false">IF(B208&lt;=$D$6,IF(B208=$D$6,C208,MIN($D$7-E208,C208)),0)</f>
        <v>0</v>
      </c>
      <c r="G208" s="37" t="n">
        <f aca="false">C208-F208</f>
        <v>0</v>
      </c>
    </row>
    <row r="209" customFormat="false" ht="15" hidden="false" customHeight="false" outlineLevel="0" collapsed="false">
      <c r="B209" s="56" t="n">
        <v>196</v>
      </c>
      <c r="C209" s="37" t="n">
        <f aca="false">G208</f>
        <v>0</v>
      </c>
      <c r="D209" s="37" t="n">
        <f aca="false">E209+F209</f>
        <v>0</v>
      </c>
      <c r="E209" s="37" t="n">
        <f aca="false">IF(B209&lt;=$D$6,C209*$D$5/12,0)</f>
        <v>0</v>
      </c>
      <c r="F209" s="37" t="n">
        <f aca="false">IF(B209&lt;=$D$6,IF(B209=$D$6,C209,MIN($D$7-E209,C209)),0)</f>
        <v>0</v>
      </c>
      <c r="G209" s="37" t="n">
        <f aca="false">C209-F209</f>
        <v>0</v>
      </c>
    </row>
    <row r="210" customFormat="false" ht="15" hidden="false" customHeight="false" outlineLevel="0" collapsed="false">
      <c r="B210" s="56" t="n">
        <v>197</v>
      </c>
      <c r="C210" s="37" t="n">
        <f aca="false">G209</f>
        <v>0</v>
      </c>
      <c r="D210" s="37" t="n">
        <f aca="false">E210+F210</f>
        <v>0</v>
      </c>
      <c r="E210" s="37" t="n">
        <f aca="false">IF(B210&lt;=$D$6,C210*$D$5/12,0)</f>
        <v>0</v>
      </c>
      <c r="F210" s="37" t="n">
        <f aca="false">IF(B210&lt;=$D$6,IF(B210=$D$6,C210,MIN($D$7-E210,C210)),0)</f>
        <v>0</v>
      </c>
      <c r="G210" s="37" t="n">
        <f aca="false">C210-F210</f>
        <v>0</v>
      </c>
    </row>
    <row r="211" customFormat="false" ht="15" hidden="false" customHeight="false" outlineLevel="0" collapsed="false">
      <c r="B211" s="56" t="n">
        <v>198</v>
      </c>
      <c r="C211" s="37" t="n">
        <f aca="false">G210</f>
        <v>0</v>
      </c>
      <c r="D211" s="37" t="n">
        <f aca="false">E211+F211</f>
        <v>0</v>
      </c>
      <c r="E211" s="37" t="n">
        <f aca="false">IF(B211&lt;=$D$6,C211*$D$5/12,0)</f>
        <v>0</v>
      </c>
      <c r="F211" s="37" t="n">
        <f aca="false">IF(B211&lt;=$D$6,IF(B211=$D$6,C211,MIN($D$7-E211,C211)),0)</f>
        <v>0</v>
      </c>
      <c r="G211" s="37" t="n">
        <f aca="false">C211-F211</f>
        <v>0</v>
      </c>
    </row>
    <row r="212" customFormat="false" ht="15" hidden="false" customHeight="false" outlineLevel="0" collapsed="false">
      <c r="B212" s="56" t="n">
        <v>199</v>
      </c>
      <c r="C212" s="37" t="n">
        <f aca="false">G211</f>
        <v>0</v>
      </c>
      <c r="D212" s="37" t="n">
        <f aca="false">E212+F212</f>
        <v>0</v>
      </c>
      <c r="E212" s="37" t="n">
        <f aca="false">IF(B212&lt;=$D$6,C212*$D$5/12,0)</f>
        <v>0</v>
      </c>
      <c r="F212" s="37" t="n">
        <f aca="false">IF(B212&lt;=$D$6,IF(B212=$D$6,C212,MIN($D$7-E212,C212)),0)</f>
        <v>0</v>
      </c>
      <c r="G212" s="37" t="n">
        <f aca="false">C212-F212</f>
        <v>0</v>
      </c>
    </row>
    <row r="213" customFormat="false" ht="15" hidden="false" customHeight="false" outlineLevel="0" collapsed="false">
      <c r="B213" s="56" t="n">
        <v>200</v>
      </c>
      <c r="C213" s="37" t="n">
        <f aca="false">G212</f>
        <v>0</v>
      </c>
      <c r="D213" s="37" t="n">
        <f aca="false">E213+F213</f>
        <v>0</v>
      </c>
      <c r="E213" s="37" t="n">
        <f aca="false">IF(B213&lt;=$D$6,C213*$D$5/12,0)</f>
        <v>0</v>
      </c>
      <c r="F213" s="37" t="n">
        <f aca="false">IF(B213&lt;=$D$6,IF(B213=$D$6,C213,MIN($D$7-E213,C213)),0)</f>
        <v>0</v>
      </c>
      <c r="G213" s="37" t="n">
        <f aca="false">C213-F213</f>
        <v>0</v>
      </c>
    </row>
    <row r="214" customFormat="false" ht="15" hidden="false" customHeight="false" outlineLevel="0" collapsed="false">
      <c r="B214" s="56" t="n">
        <v>201</v>
      </c>
      <c r="C214" s="37" t="n">
        <f aca="false">G213</f>
        <v>0</v>
      </c>
      <c r="D214" s="37" t="n">
        <f aca="false">E214+F214</f>
        <v>0</v>
      </c>
      <c r="E214" s="37" t="n">
        <f aca="false">IF(B214&lt;=$D$6,C214*$D$5/12,0)</f>
        <v>0</v>
      </c>
      <c r="F214" s="37" t="n">
        <f aca="false">IF(B214&lt;=$D$6,IF(B214=$D$6,C214,MIN($D$7-E214,C214)),0)</f>
        <v>0</v>
      </c>
      <c r="G214" s="37" t="n">
        <f aca="false">C214-F214</f>
        <v>0</v>
      </c>
    </row>
    <row r="215" customFormat="false" ht="15" hidden="false" customHeight="false" outlineLevel="0" collapsed="false">
      <c r="B215" s="56" t="n">
        <v>202</v>
      </c>
      <c r="C215" s="37" t="n">
        <f aca="false">G214</f>
        <v>0</v>
      </c>
      <c r="D215" s="37" t="n">
        <f aca="false">E215+F215</f>
        <v>0</v>
      </c>
      <c r="E215" s="37" t="n">
        <f aca="false">IF(B215&lt;=$D$6,C215*$D$5/12,0)</f>
        <v>0</v>
      </c>
      <c r="F215" s="37" t="n">
        <f aca="false">IF(B215&lt;=$D$6,IF(B215=$D$6,C215,MIN($D$7-E215,C215)),0)</f>
        <v>0</v>
      </c>
      <c r="G215" s="37" t="n">
        <f aca="false">C215-F215</f>
        <v>0</v>
      </c>
    </row>
    <row r="216" customFormat="false" ht="15" hidden="false" customHeight="false" outlineLevel="0" collapsed="false">
      <c r="B216" s="56" t="n">
        <v>203</v>
      </c>
      <c r="C216" s="37" t="n">
        <f aca="false">G215</f>
        <v>0</v>
      </c>
      <c r="D216" s="37" t="n">
        <f aca="false">E216+F216</f>
        <v>0</v>
      </c>
      <c r="E216" s="37" t="n">
        <f aca="false">IF(B216&lt;=$D$6,C216*$D$5/12,0)</f>
        <v>0</v>
      </c>
      <c r="F216" s="37" t="n">
        <f aca="false">IF(B216&lt;=$D$6,IF(B216=$D$6,C216,MIN($D$7-E216,C216)),0)</f>
        <v>0</v>
      </c>
      <c r="G216" s="37" t="n">
        <f aca="false">C216-F216</f>
        <v>0</v>
      </c>
    </row>
    <row r="217" customFormat="false" ht="15" hidden="false" customHeight="false" outlineLevel="0" collapsed="false">
      <c r="B217" s="56" t="n">
        <v>204</v>
      </c>
      <c r="C217" s="37" t="n">
        <f aca="false">G216</f>
        <v>0</v>
      </c>
      <c r="D217" s="37" t="n">
        <f aca="false">E217+F217</f>
        <v>0</v>
      </c>
      <c r="E217" s="37" t="n">
        <f aca="false">IF(B217&lt;=$D$6,C217*$D$5/12,0)</f>
        <v>0</v>
      </c>
      <c r="F217" s="37" t="n">
        <f aca="false">IF(B217&lt;=$D$6,IF(B217=$D$6,C217,MIN($D$7-E217,C217)),0)</f>
        <v>0</v>
      </c>
      <c r="G217" s="37" t="n">
        <f aca="false">C217-F217</f>
        <v>0</v>
      </c>
    </row>
    <row r="218" customFormat="false" ht="15" hidden="false" customHeight="false" outlineLevel="0" collapsed="false">
      <c r="B218" s="56" t="n">
        <v>205</v>
      </c>
      <c r="C218" s="37" t="n">
        <f aca="false">G217</f>
        <v>0</v>
      </c>
      <c r="D218" s="37" t="n">
        <f aca="false">E218+F218</f>
        <v>0</v>
      </c>
      <c r="E218" s="37" t="n">
        <f aca="false">IF(B218&lt;=$D$6,C218*$D$5/12,0)</f>
        <v>0</v>
      </c>
      <c r="F218" s="37" t="n">
        <f aca="false">IF(B218&lt;=$D$6,IF(B218=$D$6,C218,MIN($D$7-E218,C218)),0)</f>
        <v>0</v>
      </c>
      <c r="G218" s="37" t="n">
        <f aca="false">C218-F218</f>
        <v>0</v>
      </c>
    </row>
    <row r="219" customFormat="false" ht="15" hidden="false" customHeight="false" outlineLevel="0" collapsed="false">
      <c r="B219" s="56" t="n">
        <v>206</v>
      </c>
      <c r="C219" s="37" t="n">
        <f aca="false">G218</f>
        <v>0</v>
      </c>
      <c r="D219" s="37" t="n">
        <f aca="false">E219+F219</f>
        <v>0</v>
      </c>
      <c r="E219" s="37" t="n">
        <f aca="false">IF(B219&lt;=$D$6,C219*$D$5/12,0)</f>
        <v>0</v>
      </c>
      <c r="F219" s="37" t="n">
        <f aca="false">IF(B219&lt;=$D$6,IF(B219=$D$6,C219,MIN($D$7-E219,C219)),0)</f>
        <v>0</v>
      </c>
      <c r="G219" s="37" t="n">
        <f aca="false">C219-F219</f>
        <v>0</v>
      </c>
    </row>
    <row r="220" customFormat="false" ht="15" hidden="false" customHeight="false" outlineLevel="0" collapsed="false">
      <c r="B220" s="56" t="n">
        <v>207</v>
      </c>
      <c r="C220" s="37" t="n">
        <f aca="false">G219</f>
        <v>0</v>
      </c>
      <c r="D220" s="37" t="n">
        <f aca="false">E220+F220</f>
        <v>0</v>
      </c>
      <c r="E220" s="37" t="n">
        <f aca="false">IF(B220&lt;=$D$6,C220*$D$5/12,0)</f>
        <v>0</v>
      </c>
      <c r="F220" s="37" t="n">
        <f aca="false">IF(B220&lt;=$D$6,IF(B220=$D$6,C220,MIN($D$7-E220,C220)),0)</f>
        <v>0</v>
      </c>
      <c r="G220" s="37" t="n">
        <f aca="false">C220-F220</f>
        <v>0</v>
      </c>
    </row>
    <row r="221" customFormat="false" ht="15" hidden="false" customHeight="false" outlineLevel="0" collapsed="false">
      <c r="B221" s="56" t="n">
        <v>208</v>
      </c>
      <c r="C221" s="37" t="n">
        <f aca="false">G220</f>
        <v>0</v>
      </c>
      <c r="D221" s="37" t="n">
        <f aca="false">E221+F221</f>
        <v>0</v>
      </c>
      <c r="E221" s="37" t="n">
        <f aca="false">IF(B221&lt;=$D$6,C221*$D$5/12,0)</f>
        <v>0</v>
      </c>
      <c r="F221" s="37" t="n">
        <f aca="false">IF(B221&lt;=$D$6,IF(B221=$D$6,C221,MIN($D$7-E221,C221)),0)</f>
        <v>0</v>
      </c>
      <c r="G221" s="37" t="n">
        <f aca="false">C221-F221</f>
        <v>0</v>
      </c>
    </row>
    <row r="222" customFormat="false" ht="15" hidden="false" customHeight="false" outlineLevel="0" collapsed="false">
      <c r="B222" s="56" t="n">
        <v>209</v>
      </c>
      <c r="C222" s="37" t="n">
        <f aca="false">G221</f>
        <v>0</v>
      </c>
      <c r="D222" s="37" t="n">
        <f aca="false">E222+F222</f>
        <v>0</v>
      </c>
      <c r="E222" s="37" t="n">
        <f aca="false">IF(B222&lt;=$D$6,C222*$D$5/12,0)</f>
        <v>0</v>
      </c>
      <c r="F222" s="37" t="n">
        <f aca="false">IF(B222&lt;=$D$6,IF(B222=$D$6,C222,MIN($D$7-E222,C222)),0)</f>
        <v>0</v>
      </c>
      <c r="G222" s="37" t="n">
        <f aca="false">C222-F222</f>
        <v>0</v>
      </c>
    </row>
    <row r="223" customFormat="false" ht="15" hidden="false" customHeight="false" outlineLevel="0" collapsed="false">
      <c r="B223" s="56" t="n">
        <v>210</v>
      </c>
      <c r="C223" s="37" t="n">
        <f aca="false">G222</f>
        <v>0</v>
      </c>
      <c r="D223" s="37" t="n">
        <f aca="false">E223+F223</f>
        <v>0</v>
      </c>
      <c r="E223" s="37" t="n">
        <f aca="false">IF(B223&lt;=$D$6,C223*$D$5/12,0)</f>
        <v>0</v>
      </c>
      <c r="F223" s="37" t="n">
        <f aca="false">IF(B223&lt;=$D$6,IF(B223=$D$6,C223,MIN($D$7-E223,C223)),0)</f>
        <v>0</v>
      </c>
      <c r="G223" s="37" t="n">
        <f aca="false">C223-F223</f>
        <v>0</v>
      </c>
    </row>
    <row r="224" customFormat="false" ht="15" hidden="false" customHeight="false" outlineLevel="0" collapsed="false">
      <c r="B224" s="56" t="n">
        <v>211</v>
      </c>
      <c r="C224" s="37" t="n">
        <f aca="false">G223</f>
        <v>0</v>
      </c>
      <c r="D224" s="37" t="n">
        <f aca="false">E224+F224</f>
        <v>0</v>
      </c>
      <c r="E224" s="37" t="n">
        <f aca="false">IF(B224&lt;=$D$6,C224*$D$5/12,0)</f>
        <v>0</v>
      </c>
      <c r="F224" s="37" t="n">
        <f aca="false">IF(B224&lt;=$D$6,IF(B224=$D$6,C224,MIN($D$7-E224,C224)),0)</f>
        <v>0</v>
      </c>
      <c r="G224" s="37" t="n">
        <f aca="false">C224-F224</f>
        <v>0</v>
      </c>
    </row>
    <row r="225" customFormat="false" ht="15" hidden="false" customHeight="false" outlineLevel="0" collapsed="false">
      <c r="B225" s="56" t="n">
        <v>212</v>
      </c>
      <c r="C225" s="37" t="n">
        <f aca="false">G224</f>
        <v>0</v>
      </c>
      <c r="D225" s="37" t="n">
        <f aca="false">E225+F225</f>
        <v>0</v>
      </c>
      <c r="E225" s="37" t="n">
        <f aca="false">IF(B225&lt;=$D$6,C225*$D$5/12,0)</f>
        <v>0</v>
      </c>
      <c r="F225" s="37" t="n">
        <f aca="false">IF(B225&lt;=$D$6,IF(B225=$D$6,C225,MIN($D$7-E225,C225)),0)</f>
        <v>0</v>
      </c>
      <c r="G225" s="37" t="n">
        <f aca="false">C225-F225</f>
        <v>0</v>
      </c>
    </row>
    <row r="226" customFormat="false" ht="15" hidden="false" customHeight="false" outlineLevel="0" collapsed="false">
      <c r="B226" s="56" t="n">
        <v>213</v>
      </c>
      <c r="C226" s="37" t="n">
        <f aca="false">G225</f>
        <v>0</v>
      </c>
      <c r="D226" s="37" t="n">
        <f aca="false">E226+F226</f>
        <v>0</v>
      </c>
      <c r="E226" s="37" t="n">
        <f aca="false">IF(B226&lt;=$D$6,C226*$D$5/12,0)</f>
        <v>0</v>
      </c>
      <c r="F226" s="37" t="n">
        <f aca="false">IF(B226&lt;=$D$6,IF(B226=$D$6,C226,MIN($D$7-E226,C226)),0)</f>
        <v>0</v>
      </c>
      <c r="G226" s="37" t="n">
        <f aca="false">C226-F226</f>
        <v>0</v>
      </c>
    </row>
    <row r="227" customFormat="false" ht="15" hidden="false" customHeight="false" outlineLevel="0" collapsed="false">
      <c r="B227" s="56" t="n">
        <v>214</v>
      </c>
      <c r="C227" s="37" t="n">
        <f aca="false">G226</f>
        <v>0</v>
      </c>
      <c r="D227" s="37" t="n">
        <f aca="false">E227+F227</f>
        <v>0</v>
      </c>
      <c r="E227" s="37" t="n">
        <f aca="false">IF(B227&lt;=$D$6,C227*$D$5/12,0)</f>
        <v>0</v>
      </c>
      <c r="F227" s="37" t="n">
        <f aca="false">IF(B227&lt;=$D$6,IF(B227=$D$6,C227,MIN($D$7-E227,C227)),0)</f>
        <v>0</v>
      </c>
      <c r="G227" s="37" t="n">
        <f aca="false">C227-F227</f>
        <v>0</v>
      </c>
    </row>
    <row r="228" customFormat="false" ht="15" hidden="false" customHeight="false" outlineLevel="0" collapsed="false">
      <c r="B228" s="56" t="n">
        <v>215</v>
      </c>
      <c r="C228" s="37" t="n">
        <f aca="false">G227</f>
        <v>0</v>
      </c>
      <c r="D228" s="37" t="n">
        <f aca="false">E228+F228</f>
        <v>0</v>
      </c>
      <c r="E228" s="37" t="n">
        <f aca="false">IF(B228&lt;=$D$6,C228*$D$5/12,0)</f>
        <v>0</v>
      </c>
      <c r="F228" s="37" t="n">
        <f aca="false">IF(B228&lt;=$D$6,IF(B228=$D$6,C228,MIN($D$7-E228,C228)),0)</f>
        <v>0</v>
      </c>
      <c r="G228" s="37" t="n">
        <f aca="false">C228-F228</f>
        <v>0</v>
      </c>
    </row>
    <row r="229" customFormat="false" ht="15" hidden="false" customHeight="false" outlineLevel="0" collapsed="false">
      <c r="B229" s="56" t="n">
        <v>216</v>
      </c>
      <c r="C229" s="37" t="n">
        <f aca="false">G228</f>
        <v>0</v>
      </c>
      <c r="D229" s="37" t="n">
        <f aca="false">E229+F229</f>
        <v>0</v>
      </c>
      <c r="E229" s="37" t="n">
        <f aca="false">IF(B229&lt;=$D$6,C229*$D$5/12,0)</f>
        <v>0</v>
      </c>
      <c r="F229" s="37" t="n">
        <f aca="false">IF(B229&lt;=$D$6,IF(B229=$D$6,C229,MIN($D$7-E229,C229)),0)</f>
        <v>0</v>
      </c>
      <c r="G229" s="37" t="n">
        <f aca="false">C229-F229</f>
        <v>0</v>
      </c>
    </row>
    <row r="230" customFormat="false" ht="15" hidden="false" customHeight="false" outlineLevel="0" collapsed="false">
      <c r="B230" s="56" t="n">
        <v>217</v>
      </c>
      <c r="C230" s="37" t="n">
        <f aca="false">G229</f>
        <v>0</v>
      </c>
      <c r="D230" s="37" t="n">
        <f aca="false">E230+F230</f>
        <v>0</v>
      </c>
      <c r="E230" s="37" t="n">
        <f aca="false">IF(B230&lt;=$D$6,C230*$D$5/12,0)</f>
        <v>0</v>
      </c>
      <c r="F230" s="37" t="n">
        <f aca="false">IF(B230&lt;=$D$6,IF(B230=$D$6,C230,MIN($D$7-E230,C230)),0)</f>
        <v>0</v>
      </c>
      <c r="G230" s="37" t="n">
        <f aca="false">C230-F230</f>
        <v>0</v>
      </c>
    </row>
    <row r="231" customFormat="false" ht="15" hidden="false" customHeight="false" outlineLevel="0" collapsed="false">
      <c r="B231" s="56" t="n">
        <v>218</v>
      </c>
      <c r="C231" s="37" t="n">
        <f aca="false">G230</f>
        <v>0</v>
      </c>
      <c r="D231" s="37" t="n">
        <f aca="false">E231+F231</f>
        <v>0</v>
      </c>
      <c r="E231" s="37" t="n">
        <f aca="false">IF(B231&lt;=$D$6,C231*$D$5/12,0)</f>
        <v>0</v>
      </c>
      <c r="F231" s="37" t="n">
        <f aca="false">IF(B231&lt;=$D$6,IF(B231=$D$6,C231,MIN($D$7-E231,C231)),0)</f>
        <v>0</v>
      </c>
      <c r="G231" s="37" t="n">
        <f aca="false">C231-F231</f>
        <v>0</v>
      </c>
    </row>
    <row r="232" customFormat="false" ht="15" hidden="false" customHeight="false" outlineLevel="0" collapsed="false">
      <c r="B232" s="56" t="n">
        <v>219</v>
      </c>
      <c r="C232" s="37" t="n">
        <f aca="false">G231</f>
        <v>0</v>
      </c>
      <c r="D232" s="37" t="n">
        <f aca="false">E232+F232</f>
        <v>0</v>
      </c>
      <c r="E232" s="37" t="n">
        <f aca="false">IF(B232&lt;=$D$6,C232*$D$5/12,0)</f>
        <v>0</v>
      </c>
      <c r="F232" s="37" t="n">
        <f aca="false">IF(B232&lt;=$D$6,IF(B232=$D$6,C232,MIN($D$7-E232,C232)),0)</f>
        <v>0</v>
      </c>
      <c r="G232" s="37" t="n">
        <f aca="false">C232-F232</f>
        <v>0</v>
      </c>
    </row>
    <row r="233" customFormat="false" ht="15" hidden="false" customHeight="false" outlineLevel="0" collapsed="false">
      <c r="B233" s="56" t="n">
        <v>220</v>
      </c>
      <c r="C233" s="37" t="n">
        <f aca="false">G232</f>
        <v>0</v>
      </c>
      <c r="D233" s="37" t="n">
        <f aca="false">E233+F233</f>
        <v>0</v>
      </c>
      <c r="E233" s="37" t="n">
        <f aca="false">IF(B233&lt;=$D$6,C233*$D$5/12,0)</f>
        <v>0</v>
      </c>
      <c r="F233" s="37" t="n">
        <f aca="false">IF(B233&lt;=$D$6,IF(B233=$D$6,C233,MIN($D$7-E233,C233)),0)</f>
        <v>0</v>
      </c>
      <c r="G233" s="37" t="n">
        <f aca="false">C233-F233</f>
        <v>0</v>
      </c>
    </row>
    <row r="234" customFormat="false" ht="15" hidden="false" customHeight="false" outlineLevel="0" collapsed="false">
      <c r="B234" s="56" t="n">
        <v>221</v>
      </c>
      <c r="C234" s="37" t="n">
        <f aca="false">G233</f>
        <v>0</v>
      </c>
      <c r="D234" s="37" t="n">
        <f aca="false">E234+F234</f>
        <v>0</v>
      </c>
      <c r="E234" s="37" t="n">
        <f aca="false">IF(B234&lt;=$D$6,C234*$D$5/12,0)</f>
        <v>0</v>
      </c>
      <c r="F234" s="37" t="n">
        <f aca="false">IF(B234&lt;=$D$6,IF(B234=$D$6,C234,MIN($D$7-E234,C234)),0)</f>
        <v>0</v>
      </c>
      <c r="G234" s="37" t="n">
        <f aca="false">C234-F234</f>
        <v>0</v>
      </c>
    </row>
    <row r="235" customFormat="false" ht="15" hidden="false" customHeight="false" outlineLevel="0" collapsed="false">
      <c r="B235" s="56" t="n">
        <v>222</v>
      </c>
      <c r="C235" s="37" t="n">
        <f aca="false">G234</f>
        <v>0</v>
      </c>
      <c r="D235" s="37" t="n">
        <f aca="false">E235+F235</f>
        <v>0</v>
      </c>
      <c r="E235" s="37" t="n">
        <f aca="false">IF(B235&lt;=$D$6,C235*$D$5/12,0)</f>
        <v>0</v>
      </c>
      <c r="F235" s="37" t="n">
        <f aca="false">IF(B235&lt;=$D$6,IF(B235=$D$6,C235,MIN($D$7-E235,C235)),0)</f>
        <v>0</v>
      </c>
      <c r="G235" s="37" t="n">
        <f aca="false">C235-F235</f>
        <v>0</v>
      </c>
    </row>
    <row r="236" customFormat="false" ht="15" hidden="false" customHeight="false" outlineLevel="0" collapsed="false">
      <c r="B236" s="56" t="n">
        <v>223</v>
      </c>
      <c r="C236" s="37" t="n">
        <f aca="false">G235</f>
        <v>0</v>
      </c>
      <c r="D236" s="37" t="n">
        <f aca="false">E236+F236</f>
        <v>0</v>
      </c>
      <c r="E236" s="37" t="n">
        <f aca="false">IF(B236&lt;=$D$6,C236*$D$5/12,0)</f>
        <v>0</v>
      </c>
      <c r="F236" s="37" t="n">
        <f aca="false">IF(B236&lt;=$D$6,IF(B236=$D$6,C236,MIN($D$7-E236,C236)),0)</f>
        <v>0</v>
      </c>
      <c r="G236" s="37" t="n">
        <f aca="false">C236-F236</f>
        <v>0</v>
      </c>
    </row>
    <row r="237" customFormat="false" ht="15" hidden="false" customHeight="false" outlineLevel="0" collapsed="false">
      <c r="B237" s="56" t="n">
        <v>224</v>
      </c>
      <c r="C237" s="37" t="n">
        <f aca="false">G236</f>
        <v>0</v>
      </c>
      <c r="D237" s="37" t="n">
        <f aca="false">E237+F237</f>
        <v>0</v>
      </c>
      <c r="E237" s="37" t="n">
        <f aca="false">IF(B237&lt;=$D$6,C237*$D$5/12,0)</f>
        <v>0</v>
      </c>
      <c r="F237" s="37" t="n">
        <f aca="false">IF(B237&lt;=$D$6,IF(B237=$D$6,C237,MIN($D$7-E237,C237)),0)</f>
        <v>0</v>
      </c>
      <c r="G237" s="37" t="n">
        <f aca="false">C237-F237</f>
        <v>0</v>
      </c>
    </row>
    <row r="238" customFormat="false" ht="15" hidden="false" customHeight="false" outlineLevel="0" collapsed="false">
      <c r="B238" s="56" t="n">
        <v>225</v>
      </c>
      <c r="C238" s="37" t="n">
        <f aca="false">G237</f>
        <v>0</v>
      </c>
      <c r="D238" s="37" t="n">
        <f aca="false">E238+F238</f>
        <v>0</v>
      </c>
      <c r="E238" s="37" t="n">
        <f aca="false">IF(B238&lt;=$D$6,C238*$D$5/12,0)</f>
        <v>0</v>
      </c>
      <c r="F238" s="37" t="n">
        <f aca="false">IF(B238&lt;=$D$6,IF(B238=$D$6,C238,MIN($D$7-E238,C238)),0)</f>
        <v>0</v>
      </c>
      <c r="G238" s="37" t="n">
        <f aca="false">C238-F238</f>
        <v>0</v>
      </c>
    </row>
    <row r="239" customFormat="false" ht="15" hidden="false" customHeight="false" outlineLevel="0" collapsed="false">
      <c r="B239" s="56" t="n">
        <v>226</v>
      </c>
      <c r="C239" s="37" t="n">
        <f aca="false">G238</f>
        <v>0</v>
      </c>
      <c r="D239" s="37" t="n">
        <f aca="false">E239+F239</f>
        <v>0</v>
      </c>
      <c r="E239" s="37" t="n">
        <f aca="false">IF(B239&lt;=$D$6,C239*$D$5/12,0)</f>
        <v>0</v>
      </c>
      <c r="F239" s="37" t="n">
        <f aca="false">IF(B239&lt;=$D$6,IF(B239=$D$6,C239,MIN($D$7-E239,C239)),0)</f>
        <v>0</v>
      </c>
      <c r="G239" s="37" t="n">
        <f aca="false">C239-F239</f>
        <v>0</v>
      </c>
    </row>
    <row r="240" customFormat="false" ht="15" hidden="false" customHeight="false" outlineLevel="0" collapsed="false">
      <c r="B240" s="56" t="n">
        <v>227</v>
      </c>
      <c r="C240" s="37" t="n">
        <f aca="false">G239</f>
        <v>0</v>
      </c>
      <c r="D240" s="37" t="n">
        <f aca="false">E240+F240</f>
        <v>0</v>
      </c>
      <c r="E240" s="37" t="n">
        <f aca="false">IF(B240&lt;=$D$6,C240*$D$5/12,0)</f>
        <v>0</v>
      </c>
      <c r="F240" s="37" t="n">
        <f aca="false">IF(B240&lt;=$D$6,IF(B240=$D$6,C240,MIN($D$7-E240,C240)),0)</f>
        <v>0</v>
      </c>
      <c r="G240" s="37" t="n">
        <f aca="false">C240-F240</f>
        <v>0</v>
      </c>
    </row>
    <row r="241" customFormat="false" ht="15" hidden="false" customHeight="false" outlineLevel="0" collapsed="false">
      <c r="B241" s="56" t="n">
        <v>228</v>
      </c>
      <c r="C241" s="37" t="n">
        <f aca="false">G240</f>
        <v>0</v>
      </c>
      <c r="D241" s="37" t="n">
        <f aca="false">E241+F241</f>
        <v>0</v>
      </c>
      <c r="E241" s="37" t="n">
        <f aca="false">IF(B241&lt;=$D$6,C241*$D$5/12,0)</f>
        <v>0</v>
      </c>
      <c r="F241" s="37" t="n">
        <f aca="false">IF(B241&lt;=$D$6,IF(B241=$D$6,C241,MIN($D$7-E241,C241)),0)</f>
        <v>0</v>
      </c>
      <c r="G241" s="37" t="n">
        <f aca="false">C241-F241</f>
        <v>0</v>
      </c>
    </row>
    <row r="242" customFormat="false" ht="15" hidden="false" customHeight="false" outlineLevel="0" collapsed="false">
      <c r="B242" s="56" t="n">
        <v>229</v>
      </c>
      <c r="C242" s="37" t="n">
        <f aca="false">G241</f>
        <v>0</v>
      </c>
      <c r="D242" s="37" t="n">
        <f aca="false">E242+F242</f>
        <v>0</v>
      </c>
      <c r="E242" s="37" t="n">
        <f aca="false">IF(B242&lt;=$D$6,C242*$D$5/12,0)</f>
        <v>0</v>
      </c>
      <c r="F242" s="37" t="n">
        <f aca="false">IF(B242&lt;=$D$6,IF(B242=$D$6,C242,MIN($D$7-E242,C242)),0)</f>
        <v>0</v>
      </c>
      <c r="G242" s="37" t="n">
        <f aca="false">C242-F242</f>
        <v>0</v>
      </c>
    </row>
    <row r="243" customFormat="false" ht="15" hidden="false" customHeight="false" outlineLevel="0" collapsed="false">
      <c r="B243" s="56" t="n">
        <v>230</v>
      </c>
      <c r="C243" s="37" t="n">
        <f aca="false">G242</f>
        <v>0</v>
      </c>
      <c r="D243" s="37" t="n">
        <f aca="false">E243+F243</f>
        <v>0</v>
      </c>
      <c r="E243" s="37" t="n">
        <f aca="false">IF(B243&lt;=$D$6,C243*$D$5/12,0)</f>
        <v>0</v>
      </c>
      <c r="F243" s="37" t="n">
        <f aca="false">IF(B243&lt;=$D$6,IF(B243=$D$6,C243,MIN($D$7-E243,C243)),0)</f>
        <v>0</v>
      </c>
      <c r="G243" s="37" t="n">
        <f aca="false">C243-F243</f>
        <v>0</v>
      </c>
    </row>
    <row r="244" customFormat="false" ht="15" hidden="false" customHeight="false" outlineLevel="0" collapsed="false">
      <c r="B244" s="56" t="n">
        <v>231</v>
      </c>
      <c r="C244" s="37" t="n">
        <f aca="false">G243</f>
        <v>0</v>
      </c>
      <c r="D244" s="37" t="n">
        <f aca="false">E244+F244</f>
        <v>0</v>
      </c>
      <c r="E244" s="37" t="n">
        <f aca="false">IF(B244&lt;=$D$6,C244*$D$5/12,0)</f>
        <v>0</v>
      </c>
      <c r="F244" s="37" t="n">
        <f aca="false">IF(B244&lt;=$D$6,IF(B244=$D$6,C244,MIN($D$7-E244,C244)),0)</f>
        <v>0</v>
      </c>
      <c r="G244" s="37" t="n">
        <f aca="false">C244-F244</f>
        <v>0</v>
      </c>
    </row>
    <row r="245" customFormat="false" ht="15" hidden="false" customHeight="false" outlineLevel="0" collapsed="false">
      <c r="B245" s="56" t="n">
        <v>232</v>
      </c>
      <c r="C245" s="37" t="n">
        <f aca="false">G244</f>
        <v>0</v>
      </c>
      <c r="D245" s="37" t="n">
        <f aca="false">E245+F245</f>
        <v>0</v>
      </c>
      <c r="E245" s="37" t="n">
        <f aca="false">IF(B245&lt;=$D$6,C245*$D$5/12,0)</f>
        <v>0</v>
      </c>
      <c r="F245" s="37" t="n">
        <f aca="false">IF(B245&lt;=$D$6,IF(B245=$D$6,C245,MIN($D$7-E245,C245)),0)</f>
        <v>0</v>
      </c>
      <c r="G245" s="37" t="n">
        <f aca="false">C245-F245</f>
        <v>0</v>
      </c>
    </row>
    <row r="246" customFormat="false" ht="15" hidden="false" customHeight="false" outlineLevel="0" collapsed="false">
      <c r="B246" s="56" t="n">
        <v>233</v>
      </c>
      <c r="C246" s="37" t="n">
        <f aca="false">G245</f>
        <v>0</v>
      </c>
      <c r="D246" s="37" t="n">
        <f aca="false">E246+F246</f>
        <v>0</v>
      </c>
      <c r="E246" s="37" t="n">
        <f aca="false">IF(B246&lt;=$D$6,C246*$D$5/12,0)</f>
        <v>0</v>
      </c>
      <c r="F246" s="37" t="n">
        <f aca="false">IF(B246&lt;=$D$6,IF(B246=$D$6,C246,MIN($D$7-E246,C246)),0)</f>
        <v>0</v>
      </c>
      <c r="G246" s="37" t="n">
        <f aca="false">C246-F246</f>
        <v>0</v>
      </c>
    </row>
    <row r="247" customFormat="false" ht="15" hidden="false" customHeight="false" outlineLevel="0" collapsed="false">
      <c r="B247" s="56" t="n">
        <v>234</v>
      </c>
      <c r="C247" s="37" t="n">
        <f aca="false">G246</f>
        <v>0</v>
      </c>
      <c r="D247" s="37" t="n">
        <f aca="false">E247+F247</f>
        <v>0</v>
      </c>
      <c r="E247" s="37" t="n">
        <f aca="false">IF(B247&lt;=$D$6,C247*$D$5/12,0)</f>
        <v>0</v>
      </c>
      <c r="F247" s="37" t="n">
        <f aca="false">IF(B247&lt;=$D$6,IF(B247=$D$6,C247,MIN($D$7-E247,C247)),0)</f>
        <v>0</v>
      </c>
      <c r="G247" s="37" t="n">
        <f aca="false">C247-F247</f>
        <v>0</v>
      </c>
    </row>
    <row r="248" customFormat="false" ht="15" hidden="false" customHeight="false" outlineLevel="0" collapsed="false">
      <c r="B248" s="56" t="n">
        <v>235</v>
      </c>
      <c r="C248" s="37" t="n">
        <f aca="false">G247</f>
        <v>0</v>
      </c>
      <c r="D248" s="37" t="n">
        <f aca="false">E248+F248</f>
        <v>0</v>
      </c>
      <c r="E248" s="37" t="n">
        <f aca="false">IF(B248&lt;=$D$6,C248*$D$5/12,0)</f>
        <v>0</v>
      </c>
      <c r="F248" s="37" t="n">
        <f aca="false">IF(B248&lt;=$D$6,IF(B248=$D$6,C248,MIN($D$7-E248,C248)),0)</f>
        <v>0</v>
      </c>
      <c r="G248" s="37" t="n">
        <f aca="false">C248-F248</f>
        <v>0</v>
      </c>
    </row>
    <row r="249" customFormat="false" ht="15" hidden="false" customHeight="false" outlineLevel="0" collapsed="false">
      <c r="B249" s="56" t="n">
        <v>236</v>
      </c>
      <c r="C249" s="37" t="n">
        <f aca="false">G248</f>
        <v>0</v>
      </c>
      <c r="D249" s="37" t="n">
        <f aca="false">E249+F249</f>
        <v>0</v>
      </c>
      <c r="E249" s="37" t="n">
        <f aca="false">IF(B249&lt;=$D$6,C249*$D$5/12,0)</f>
        <v>0</v>
      </c>
      <c r="F249" s="37" t="n">
        <f aca="false">IF(B249&lt;=$D$6,IF(B249=$D$6,C249,MIN($D$7-E249,C249)),0)</f>
        <v>0</v>
      </c>
      <c r="G249" s="37" t="n">
        <f aca="false">C249-F249</f>
        <v>0</v>
      </c>
    </row>
    <row r="250" customFormat="false" ht="15" hidden="false" customHeight="false" outlineLevel="0" collapsed="false">
      <c r="B250" s="56" t="n">
        <v>237</v>
      </c>
      <c r="C250" s="37" t="n">
        <f aca="false">G249</f>
        <v>0</v>
      </c>
      <c r="D250" s="37" t="n">
        <f aca="false">E250+F250</f>
        <v>0</v>
      </c>
      <c r="E250" s="37" t="n">
        <f aca="false">IF(B250&lt;=$D$6,C250*$D$5/12,0)</f>
        <v>0</v>
      </c>
      <c r="F250" s="37" t="n">
        <f aca="false">IF(B250&lt;=$D$6,IF(B250=$D$6,C250,MIN($D$7-E250,C250)),0)</f>
        <v>0</v>
      </c>
      <c r="G250" s="37" t="n">
        <f aca="false">C250-F250</f>
        <v>0</v>
      </c>
    </row>
    <row r="251" customFormat="false" ht="15" hidden="false" customHeight="false" outlineLevel="0" collapsed="false">
      <c r="B251" s="56" t="n">
        <v>238</v>
      </c>
      <c r="C251" s="37" t="n">
        <f aca="false">G250</f>
        <v>0</v>
      </c>
      <c r="D251" s="37" t="n">
        <f aca="false">E251+F251</f>
        <v>0</v>
      </c>
      <c r="E251" s="37" t="n">
        <f aca="false">IF(B251&lt;=$D$6,C251*$D$5/12,0)</f>
        <v>0</v>
      </c>
      <c r="F251" s="37" t="n">
        <f aca="false">IF(B251&lt;=$D$6,IF(B251=$D$6,C251,MIN($D$7-E251,C251)),0)</f>
        <v>0</v>
      </c>
      <c r="G251" s="37" t="n">
        <f aca="false">C251-F251</f>
        <v>0</v>
      </c>
    </row>
    <row r="252" customFormat="false" ht="15" hidden="false" customHeight="false" outlineLevel="0" collapsed="false">
      <c r="B252" s="56" t="n">
        <v>239</v>
      </c>
      <c r="C252" s="37" t="n">
        <f aca="false">G251</f>
        <v>0</v>
      </c>
      <c r="D252" s="37" t="n">
        <f aca="false">E252+F252</f>
        <v>0</v>
      </c>
      <c r="E252" s="37" t="n">
        <f aca="false">IF(B252&lt;=$D$6,C252*$D$5/12,0)</f>
        <v>0</v>
      </c>
      <c r="F252" s="37" t="n">
        <f aca="false">IF(B252&lt;=$D$6,IF(B252=$D$6,C252,MIN($D$7-E252,C252)),0)</f>
        <v>0</v>
      </c>
      <c r="G252" s="37" t="n">
        <f aca="false">C252-F252</f>
        <v>0</v>
      </c>
    </row>
    <row r="253" customFormat="false" ht="15" hidden="false" customHeight="false" outlineLevel="0" collapsed="false">
      <c r="B253" s="56" t="n">
        <v>240</v>
      </c>
      <c r="C253" s="37" t="n">
        <f aca="false">G252</f>
        <v>0</v>
      </c>
      <c r="D253" s="37" t="n">
        <f aca="false">E253+F253</f>
        <v>0</v>
      </c>
      <c r="E253" s="37" t="n">
        <f aca="false">IF(B253&lt;=$D$6,C253*$D$5/12,0)</f>
        <v>0</v>
      </c>
      <c r="F253" s="37" t="n">
        <f aca="false">IF(B253&lt;=$D$6,IF(B253=$D$6,C253,MIN($D$7-E253,C253)),0)</f>
        <v>0</v>
      </c>
      <c r="G253" s="37" t="n">
        <f aca="false">C253-F253</f>
        <v>0</v>
      </c>
    </row>
    <row r="254" customFormat="false" ht="15" hidden="false" customHeight="false" outlineLevel="0" collapsed="false">
      <c r="B254" s="56" t="n">
        <v>241</v>
      </c>
      <c r="C254" s="37" t="n">
        <f aca="false">G253</f>
        <v>0</v>
      </c>
      <c r="D254" s="37" t="n">
        <f aca="false">E254+F254</f>
        <v>0</v>
      </c>
      <c r="E254" s="37" t="n">
        <f aca="false">IF(B254&lt;=$D$6,C254*$D$5/12,0)</f>
        <v>0</v>
      </c>
      <c r="F254" s="37" t="n">
        <f aca="false">IF(B254&lt;=$D$6,IF(B254=$D$6,C254,MIN($D$7-E254,C254)),0)</f>
        <v>0</v>
      </c>
      <c r="G254" s="37" t="n">
        <f aca="false">C254-F254</f>
        <v>0</v>
      </c>
    </row>
    <row r="255" customFormat="false" ht="15" hidden="false" customHeight="false" outlineLevel="0" collapsed="false">
      <c r="B255" s="56" t="n">
        <v>242</v>
      </c>
      <c r="C255" s="37" t="n">
        <f aca="false">G254</f>
        <v>0</v>
      </c>
      <c r="D255" s="37" t="n">
        <f aca="false">E255+F255</f>
        <v>0</v>
      </c>
      <c r="E255" s="37" t="n">
        <f aca="false">IF(B255&lt;=$D$6,C255*$D$5/12,0)</f>
        <v>0</v>
      </c>
      <c r="F255" s="37" t="n">
        <f aca="false">IF(B255&lt;=$D$6,IF(B255=$D$6,C255,MIN($D$7-E255,C255)),0)</f>
        <v>0</v>
      </c>
      <c r="G255" s="37" t="n">
        <f aca="false">C255-F255</f>
        <v>0</v>
      </c>
    </row>
    <row r="256" customFormat="false" ht="15" hidden="false" customHeight="false" outlineLevel="0" collapsed="false">
      <c r="B256" s="56" t="n">
        <v>243</v>
      </c>
      <c r="C256" s="37" t="n">
        <f aca="false">G255</f>
        <v>0</v>
      </c>
      <c r="D256" s="37" t="n">
        <f aca="false">E256+F256</f>
        <v>0</v>
      </c>
      <c r="E256" s="37" t="n">
        <f aca="false">IF(B256&lt;=$D$6,C256*$D$5/12,0)</f>
        <v>0</v>
      </c>
      <c r="F256" s="37" t="n">
        <f aca="false">IF(B256&lt;=$D$6,IF(B256=$D$6,C256,MIN($D$7-E256,C256)),0)</f>
        <v>0</v>
      </c>
      <c r="G256" s="37" t="n">
        <f aca="false">C256-F256</f>
        <v>0</v>
      </c>
    </row>
    <row r="257" customFormat="false" ht="15" hidden="false" customHeight="false" outlineLevel="0" collapsed="false">
      <c r="B257" s="56" t="n">
        <v>244</v>
      </c>
      <c r="C257" s="37" t="n">
        <f aca="false">G256</f>
        <v>0</v>
      </c>
      <c r="D257" s="37" t="n">
        <f aca="false">E257+F257</f>
        <v>0</v>
      </c>
      <c r="E257" s="37" t="n">
        <f aca="false">IF(B257&lt;=$D$6,C257*$D$5/12,0)</f>
        <v>0</v>
      </c>
      <c r="F257" s="37" t="n">
        <f aca="false">IF(B257&lt;=$D$6,IF(B257=$D$6,C257,MIN($D$7-E257,C257)),0)</f>
        <v>0</v>
      </c>
      <c r="G257" s="37" t="n">
        <f aca="false">C257-F257</f>
        <v>0</v>
      </c>
    </row>
    <row r="258" customFormat="false" ht="15" hidden="false" customHeight="false" outlineLevel="0" collapsed="false">
      <c r="B258" s="56" t="n">
        <v>245</v>
      </c>
      <c r="C258" s="37" t="n">
        <f aca="false">G257</f>
        <v>0</v>
      </c>
      <c r="D258" s="37" t="n">
        <f aca="false">E258+F258</f>
        <v>0</v>
      </c>
      <c r="E258" s="37" t="n">
        <f aca="false">IF(B258&lt;=$D$6,C258*$D$5/12,0)</f>
        <v>0</v>
      </c>
      <c r="F258" s="37" t="n">
        <f aca="false">IF(B258&lt;=$D$6,IF(B258=$D$6,C258,MIN($D$7-E258,C258)),0)</f>
        <v>0</v>
      </c>
      <c r="G258" s="37" t="n">
        <f aca="false">C258-F258</f>
        <v>0</v>
      </c>
    </row>
    <row r="259" customFormat="false" ht="15" hidden="false" customHeight="false" outlineLevel="0" collapsed="false">
      <c r="B259" s="56" t="n">
        <v>246</v>
      </c>
      <c r="C259" s="37" t="n">
        <f aca="false">G258</f>
        <v>0</v>
      </c>
      <c r="D259" s="37" t="n">
        <f aca="false">E259+F259</f>
        <v>0</v>
      </c>
      <c r="E259" s="37" t="n">
        <f aca="false">IF(B259&lt;=$D$6,C259*$D$5/12,0)</f>
        <v>0</v>
      </c>
      <c r="F259" s="37" t="n">
        <f aca="false">IF(B259&lt;=$D$6,IF(B259=$D$6,C259,MIN($D$7-E259,C259)),0)</f>
        <v>0</v>
      </c>
      <c r="G259" s="37" t="n">
        <f aca="false">C259-F259</f>
        <v>0</v>
      </c>
    </row>
    <row r="260" customFormat="false" ht="15" hidden="false" customHeight="false" outlineLevel="0" collapsed="false">
      <c r="B260" s="56" t="n">
        <v>247</v>
      </c>
      <c r="C260" s="37" t="n">
        <f aca="false">G259</f>
        <v>0</v>
      </c>
      <c r="D260" s="37" t="n">
        <f aca="false">E260+F260</f>
        <v>0</v>
      </c>
      <c r="E260" s="37" t="n">
        <f aca="false">IF(B260&lt;=$D$6,C260*$D$5/12,0)</f>
        <v>0</v>
      </c>
      <c r="F260" s="37" t="n">
        <f aca="false">IF(B260&lt;=$D$6,IF(B260=$D$6,C260,MIN($D$7-E260,C260)),0)</f>
        <v>0</v>
      </c>
      <c r="G260" s="37" t="n">
        <f aca="false">C260-F260</f>
        <v>0</v>
      </c>
    </row>
    <row r="261" customFormat="false" ht="15" hidden="false" customHeight="false" outlineLevel="0" collapsed="false">
      <c r="B261" s="56" t="n">
        <v>248</v>
      </c>
      <c r="C261" s="37" t="n">
        <f aca="false">G260</f>
        <v>0</v>
      </c>
      <c r="D261" s="37" t="n">
        <f aca="false">E261+F261</f>
        <v>0</v>
      </c>
      <c r="E261" s="37" t="n">
        <f aca="false">IF(B261&lt;=$D$6,C261*$D$5/12,0)</f>
        <v>0</v>
      </c>
      <c r="F261" s="37" t="n">
        <f aca="false">IF(B261&lt;=$D$6,IF(B261=$D$6,C261,MIN($D$7-E261,C261)),0)</f>
        <v>0</v>
      </c>
      <c r="G261" s="37" t="n">
        <f aca="false">C261-F261</f>
        <v>0</v>
      </c>
    </row>
    <row r="262" customFormat="false" ht="15" hidden="false" customHeight="false" outlineLevel="0" collapsed="false">
      <c r="B262" s="56" t="n">
        <v>249</v>
      </c>
      <c r="C262" s="37" t="n">
        <f aca="false">G261</f>
        <v>0</v>
      </c>
      <c r="D262" s="37" t="n">
        <f aca="false">E262+F262</f>
        <v>0</v>
      </c>
      <c r="E262" s="37" t="n">
        <f aca="false">IF(B262&lt;=$D$6,C262*$D$5/12,0)</f>
        <v>0</v>
      </c>
      <c r="F262" s="37" t="n">
        <f aca="false">IF(B262&lt;=$D$6,IF(B262=$D$6,C262,MIN($D$7-E262,C262)),0)</f>
        <v>0</v>
      </c>
      <c r="G262" s="37" t="n">
        <f aca="false">C262-F262</f>
        <v>0</v>
      </c>
    </row>
    <row r="263" customFormat="false" ht="15" hidden="false" customHeight="false" outlineLevel="0" collapsed="false">
      <c r="B263" s="56" t="n">
        <v>250</v>
      </c>
      <c r="C263" s="37" t="n">
        <f aca="false">G262</f>
        <v>0</v>
      </c>
      <c r="D263" s="37" t="n">
        <f aca="false">E263+F263</f>
        <v>0</v>
      </c>
      <c r="E263" s="37" t="n">
        <f aca="false">IF(B263&lt;=$D$6,C263*$D$5/12,0)</f>
        <v>0</v>
      </c>
      <c r="F263" s="37" t="n">
        <f aca="false">IF(B263&lt;=$D$6,IF(B263=$D$6,C263,MIN($D$7-E263,C263)),0)</f>
        <v>0</v>
      </c>
      <c r="G263" s="37" t="n">
        <f aca="false">C263-F263</f>
        <v>0</v>
      </c>
    </row>
    <row r="264" customFormat="false" ht="15" hidden="false" customHeight="false" outlineLevel="0" collapsed="false">
      <c r="B264" s="56" t="n">
        <v>251</v>
      </c>
      <c r="C264" s="37" t="n">
        <f aca="false">G263</f>
        <v>0</v>
      </c>
      <c r="D264" s="37" t="n">
        <f aca="false">E264+F264</f>
        <v>0</v>
      </c>
      <c r="E264" s="37" t="n">
        <f aca="false">IF(B264&lt;=$D$6,C264*$D$5/12,0)</f>
        <v>0</v>
      </c>
      <c r="F264" s="37" t="n">
        <f aca="false">IF(B264&lt;=$D$6,IF(B264=$D$6,C264,MIN($D$7-E264,C264)),0)</f>
        <v>0</v>
      </c>
      <c r="G264" s="37" t="n">
        <f aca="false">C264-F264</f>
        <v>0</v>
      </c>
    </row>
    <row r="265" customFormat="false" ht="15" hidden="false" customHeight="false" outlineLevel="0" collapsed="false">
      <c r="B265" s="56" t="n">
        <v>252</v>
      </c>
      <c r="C265" s="37" t="n">
        <f aca="false">G264</f>
        <v>0</v>
      </c>
      <c r="D265" s="37" t="n">
        <f aca="false">E265+F265</f>
        <v>0</v>
      </c>
      <c r="E265" s="37" t="n">
        <f aca="false">IF(B265&lt;=$D$6,C265*$D$5/12,0)</f>
        <v>0</v>
      </c>
      <c r="F265" s="37" t="n">
        <f aca="false">IF(B265&lt;=$D$6,IF(B265=$D$6,C265,MIN($D$7-E265,C265)),0)</f>
        <v>0</v>
      </c>
      <c r="G265" s="37" t="n">
        <f aca="false">C265-F265</f>
        <v>0</v>
      </c>
    </row>
    <row r="266" customFormat="false" ht="15" hidden="false" customHeight="false" outlineLevel="0" collapsed="false">
      <c r="B266" s="56" t="n">
        <v>253</v>
      </c>
      <c r="C266" s="37" t="n">
        <f aca="false">G265</f>
        <v>0</v>
      </c>
      <c r="D266" s="37" t="n">
        <f aca="false">E266+F266</f>
        <v>0</v>
      </c>
      <c r="E266" s="37" t="n">
        <f aca="false">IF(B266&lt;=$D$6,C266*$D$5/12,0)</f>
        <v>0</v>
      </c>
      <c r="F266" s="37" t="n">
        <f aca="false">IF(B266&lt;=$D$6,IF(B266=$D$6,C266,MIN($D$7-E266,C266)),0)</f>
        <v>0</v>
      </c>
      <c r="G266" s="37" t="n">
        <f aca="false">C266-F266</f>
        <v>0</v>
      </c>
    </row>
    <row r="267" customFormat="false" ht="15" hidden="false" customHeight="false" outlineLevel="0" collapsed="false">
      <c r="B267" s="56" t="n">
        <v>254</v>
      </c>
      <c r="C267" s="37" t="n">
        <f aca="false">G266</f>
        <v>0</v>
      </c>
      <c r="D267" s="37" t="n">
        <f aca="false">E267+F267</f>
        <v>0</v>
      </c>
      <c r="E267" s="37" t="n">
        <f aca="false">IF(B267&lt;=$D$6,C267*$D$5/12,0)</f>
        <v>0</v>
      </c>
      <c r="F267" s="37" t="n">
        <f aca="false">IF(B267&lt;=$D$6,IF(B267=$D$6,C267,MIN($D$7-E267,C267)),0)</f>
        <v>0</v>
      </c>
      <c r="G267" s="37" t="n">
        <f aca="false">C267-F267</f>
        <v>0</v>
      </c>
    </row>
    <row r="268" customFormat="false" ht="15" hidden="false" customHeight="false" outlineLevel="0" collapsed="false">
      <c r="B268" s="56" t="n">
        <v>255</v>
      </c>
      <c r="C268" s="37" t="n">
        <f aca="false">G267</f>
        <v>0</v>
      </c>
      <c r="D268" s="37" t="n">
        <f aca="false">E268+F268</f>
        <v>0</v>
      </c>
      <c r="E268" s="37" t="n">
        <f aca="false">IF(B268&lt;=$D$6,C268*$D$5/12,0)</f>
        <v>0</v>
      </c>
      <c r="F268" s="37" t="n">
        <f aca="false">IF(B268&lt;=$D$6,IF(B268=$D$6,C268,MIN($D$7-E268,C268)),0)</f>
        <v>0</v>
      </c>
      <c r="G268" s="37" t="n">
        <f aca="false">C268-F268</f>
        <v>0</v>
      </c>
    </row>
    <row r="269" customFormat="false" ht="15" hidden="false" customHeight="false" outlineLevel="0" collapsed="false">
      <c r="B269" s="56" t="n">
        <v>256</v>
      </c>
      <c r="C269" s="37" t="n">
        <f aca="false">G268</f>
        <v>0</v>
      </c>
      <c r="D269" s="37" t="n">
        <f aca="false">E269+F269</f>
        <v>0</v>
      </c>
      <c r="E269" s="37" t="n">
        <f aca="false">IF(B269&lt;=$D$6,C269*$D$5/12,0)</f>
        <v>0</v>
      </c>
      <c r="F269" s="37" t="n">
        <f aca="false">IF(B269&lt;=$D$6,IF(B269=$D$6,C269,MIN($D$7-E269,C269)),0)</f>
        <v>0</v>
      </c>
      <c r="G269" s="37" t="n">
        <f aca="false">C269-F269</f>
        <v>0</v>
      </c>
    </row>
    <row r="270" customFormat="false" ht="15" hidden="false" customHeight="false" outlineLevel="0" collapsed="false">
      <c r="B270" s="56" t="n">
        <v>257</v>
      </c>
      <c r="C270" s="37" t="n">
        <f aca="false">G269</f>
        <v>0</v>
      </c>
      <c r="D270" s="37" t="n">
        <f aca="false">E270+F270</f>
        <v>0</v>
      </c>
      <c r="E270" s="37" t="n">
        <f aca="false">IF(B270&lt;=$D$6,C270*$D$5/12,0)</f>
        <v>0</v>
      </c>
      <c r="F270" s="37" t="n">
        <f aca="false">IF(B270&lt;=$D$6,IF(B270=$D$6,C270,MIN($D$7-E270,C270)),0)</f>
        <v>0</v>
      </c>
      <c r="G270" s="37" t="n">
        <f aca="false">C270-F270</f>
        <v>0</v>
      </c>
    </row>
    <row r="271" customFormat="false" ht="15" hidden="false" customHeight="false" outlineLevel="0" collapsed="false">
      <c r="B271" s="56" t="n">
        <v>258</v>
      </c>
      <c r="C271" s="37" t="n">
        <f aca="false">G270</f>
        <v>0</v>
      </c>
      <c r="D271" s="37" t="n">
        <f aca="false">E271+F271</f>
        <v>0</v>
      </c>
      <c r="E271" s="37" t="n">
        <f aca="false">IF(B271&lt;=$D$6,C271*$D$5/12,0)</f>
        <v>0</v>
      </c>
      <c r="F271" s="37" t="n">
        <f aca="false">IF(B271&lt;=$D$6,IF(B271=$D$6,C271,MIN($D$7-E271,C271)),0)</f>
        <v>0</v>
      </c>
      <c r="G271" s="37" t="n">
        <f aca="false">C271-F271</f>
        <v>0</v>
      </c>
    </row>
    <row r="272" customFormat="false" ht="15" hidden="false" customHeight="false" outlineLevel="0" collapsed="false">
      <c r="B272" s="56" t="n">
        <v>259</v>
      </c>
      <c r="C272" s="37" t="n">
        <f aca="false">G271</f>
        <v>0</v>
      </c>
      <c r="D272" s="37" t="n">
        <f aca="false">E272+F272</f>
        <v>0</v>
      </c>
      <c r="E272" s="37" t="n">
        <f aca="false">IF(B272&lt;=$D$6,C272*$D$5/12,0)</f>
        <v>0</v>
      </c>
      <c r="F272" s="37" t="n">
        <f aca="false">IF(B272&lt;=$D$6,IF(B272=$D$6,C272,MIN($D$7-E272,C272)),0)</f>
        <v>0</v>
      </c>
      <c r="G272" s="37" t="n">
        <f aca="false">C272-F272</f>
        <v>0</v>
      </c>
    </row>
    <row r="273" customFormat="false" ht="15" hidden="false" customHeight="false" outlineLevel="0" collapsed="false">
      <c r="B273" s="56" t="n">
        <v>260</v>
      </c>
      <c r="C273" s="37" t="n">
        <f aca="false">G272</f>
        <v>0</v>
      </c>
      <c r="D273" s="37" t="n">
        <f aca="false">E273+F273</f>
        <v>0</v>
      </c>
      <c r="E273" s="37" t="n">
        <f aca="false">IF(B273&lt;=$D$6,C273*$D$5/12,0)</f>
        <v>0</v>
      </c>
      <c r="F273" s="37" t="n">
        <f aca="false">IF(B273&lt;=$D$6,IF(B273=$D$6,C273,MIN($D$7-E273,C273)),0)</f>
        <v>0</v>
      </c>
      <c r="G273" s="37" t="n">
        <f aca="false">C273-F273</f>
        <v>0</v>
      </c>
    </row>
    <row r="274" customFormat="false" ht="15" hidden="false" customHeight="false" outlineLevel="0" collapsed="false">
      <c r="B274" s="56" t="n">
        <v>261</v>
      </c>
      <c r="C274" s="37" t="n">
        <f aca="false">G273</f>
        <v>0</v>
      </c>
      <c r="D274" s="37" t="n">
        <f aca="false">E274+F274</f>
        <v>0</v>
      </c>
      <c r="E274" s="37" t="n">
        <f aca="false">IF(B274&lt;=$D$6,C274*$D$5/12,0)</f>
        <v>0</v>
      </c>
      <c r="F274" s="37" t="n">
        <f aca="false">IF(B274&lt;=$D$6,IF(B274=$D$6,C274,MIN($D$7-E274,C274)),0)</f>
        <v>0</v>
      </c>
      <c r="G274" s="37" t="n">
        <f aca="false">C274-F274</f>
        <v>0</v>
      </c>
    </row>
    <row r="275" customFormat="false" ht="15" hidden="false" customHeight="false" outlineLevel="0" collapsed="false">
      <c r="B275" s="56" t="n">
        <v>262</v>
      </c>
      <c r="C275" s="37" t="n">
        <f aca="false">G274</f>
        <v>0</v>
      </c>
      <c r="D275" s="37" t="n">
        <f aca="false">E275+F275</f>
        <v>0</v>
      </c>
      <c r="E275" s="37" t="n">
        <f aca="false">IF(B275&lt;=$D$6,C275*$D$5/12,0)</f>
        <v>0</v>
      </c>
      <c r="F275" s="37" t="n">
        <f aca="false">IF(B275&lt;=$D$6,IF(B275=$D$6,C275,MIN($D$7-E275,C275)),0)</f>
        <v>0</v>
      </c>
      <c r="G275" s="37" t="n">
        <f aca="false">C275-F275</f>
        <v>0</v>
      </c>
    </row>
    <row r="276" customFormat="false" ht="15" hidden="false" customHeight="false" outlineLevel="0" collapsed="false">
      <c r="B276" s="56" t="n">
        <v>263</v>
      </c>
      <c r="C276" s="37" t="n">
        <f aca="false">G275</f>
        <v>0</v>
      </c>
      <c r="D276" s="37" t="n">
        <f aca="false">E276+F276</f>
        <v>0</v>
      </c>
      <c r="E276" s="37" t="n">
        <f aca="false">IF(B276&lt;=$D$6,C276*$D$5/12,0)</f>
        <v>0</v>
      </c>
      <c r="F276" s="37" t="n">
        <f aca="false">IF(B276&lt;=$D$6,IF(B276=$D$6,C276,MIN($D$7-E276,C276)),0)</f>
        <v>0</v>
      </c>
      <c r="G276" s="37" t="n">
        <f aca="false">C276-F276</f>
        <v>0</v>
      </c>
    </row>
    <row r="277" customFormat="false" ht="15" hidden="false" customHeight="false" outlineLevel="0" collapsed="false">
      <c r="B277" s="56" t="n">
        <v>264</v>
      </c>
      <c r="C277" s="37" t="n">
        <f aca="false">G276</f>
        <v>0</v>
      </c>
      <c r="D277" s="37" t="n">
        <f aca="false">E277+F277</f>
        <v>0</v>
      </c>
      <c r="E277" s="37" t="n">
        <f aca="false">IF(B277&lt;=$D$6,C277*$D$5/12,0)</f>
        <v>0</v>
      </c>
      <c r="F277" s="37" t="n">
        <f aca="false">IF(B277&lt;=$D$6,IF(B277=$D$6,C277,MIN($D$7-E277,C277)),0)</f>
        <v>0</v>
      </c>
      <c r="G277" s="37" t="n">
        <f aca="false">C277-F277</f>
        <v>0</v>
      </c>
    </row>
    <row r="278" customFormat="false" ht="15" hidden="false" customHeight="false" outlineLevel="0" collapsed="false">
      <c r="B278" s="56" t="n">
        <v>265</v>
      </c>
      <c r="C278" s="37" t="n">
        <f aca="false">G277</f>
        <v>0</v>
      </c>
      <c r="D278" s="37" t="n">
        <f aca="false">E278+F278</f>
        <v>0</v>
      </c>
      <c r="E278" s="37" t="n">
        <f aca="false">IF(B278&lt;=$D$6,C278*$D$5/12,0)</f>
        <v>0</v>
      </c>
      <c r="F278" s="37" t="n">
        <f aca="false">IF(B278&lt;=$D$6,IF(B278=$D$6,C278,MIN($D$7-E278,C278)),0)</f>
        <v>0</v>
      </c>
      <c r="G278" s="37" t="n">
        <f aca="false">C278-F278</f>
        <v>0</v>
      </c>
    </row>
    <row r="279" customFormat="false" ht="15" hidden="false" customHeight="false" outlineLevel="0" collapsed="false">
      <c r="B279" s="56" t="n">
        <v>266</v>
      </c>
      <c r="C279" s="37" t="n">
        <f aca="false">G278</f>
        <v>0</v>
      </c>
      <c r="D279" s="37" t="n">
        <f aca="false">E279+F279</f>
        <v>0</v>
      </c>
      <c r="E279" s="37" t="n">
        <f aca="false">IF(B279&lt;=$D$6,C279*$D$5/12,0)</f>
        <v>0</v>
      </c>
      <c r="F279" s="37" t="n">
        <f aca="false">IF(B279&lt;=$D$6,IF(B279=$D$6,C279,MIN($D$7-E279,C279)),0)</f>
        <v>0</v>
      </c>
      <c r="G279" s="37" t="n">
        <f aca="false">C279-F279</f>
        <v>0</v>
      </c>
    </row>
    <row r="280" customFormat="false" ht="15" hidden="false" customHeight="false" outlineLevel="0" collapsed="false">
      <c r="B280" s="56" t="n">
        <v>267</v>
      </c>
      <c r="C280" s="37" t="n">
        <f aca="false">G279</f>
        <v>0</v>
      </c>
      <c r="D280" s="37" t="n">
        <f aca="false">E280+F280</f>
        <v>0</v>
      </c>
      <c r="E280" s="37" t="n">
        <f aca="false">IF(B280&lt;=$D$6,C280*$D$5/12,0)</f>
        <v>0</v>
      </c>
      <c r="F280" s="37" t="n">
        <f aca="false">IF(B280&lt;=$D$6,IF(B280=$D$6,C280,MIN($D$7-E280,C280)),0)</f>
        <v>0</v>
      </c>
      <c r="G280" s="37" t="n">
        <f aca="false">C280-F280</f>
        <v>0</v>
      </c>
    </row>
    <row r="281" customFormat="false" ht="15" hidden="false" customHeight="false" outlineLevel="0" collapsed="false">
      <c r="B281" s="56" t="n">
        <v>268</v>
      </c>
      <c r="C281" s="37" t="n">
        <f aca="false">G280</f>
        <v>0</v>
      </c>
      <c r="D281" s="37" t="n">
        <f aca="false">E281+F281</f>
        <v>0</v>
      </c>
      <c r="E281" s="37" t="n">
        <f aca="false">IF(B281&lt;=$D$6,C281*$D$5/12,0)</f>
        <v>0</v>
      </c>
      <c r="F281" s="37" t="n">
        <f aca="false">IF(B281&lt;=$D$6,IF(B281=$D$6,C281,MIN($D$7-E281,C281)),0)</f>
        <v>0</v>
      </c>
      <c r="G281" s="37" t="n">
        <f aca="false">C281-F281</f>
        <v>0</v>
      </c>
    </row>
    <row r="282" customFormat="false" ht="15" hidden="false" customHeight="false" outlineLevel="0" collapsed="false">
      <c r="B282" s="56" t="n">
        <v>269</v>
      </c>
      <c r="C282" s="37" t="n">
        <f aca="false">G281</f>
        <v>0</v>
      </c>
      <c r="D282" s="37" t="n">
        <f aca="false">E282+F282</f>
        <v>0</v>
      </c>
      <c r="E282" s="37" t="n">
        <f aca="false">IF(B282&lt;=$D$6,C282*$D$5/12,0)</f>
        <v>0</v>
      </c>
      <c r="F282" s="37" t="n">
        <f aca="false">IF(B282&lt;=$D$6,IF(B282=$D$6,C282,MIN($D$7-E282,C282)),0)</f>
        <v>0</v>
      </c>
      <c r="G282" s="37" t="n">
        <f aca="false">C282-F282</f>
        <v>0</v>
      </c>
    </row>
    <row r="283" customFormat="false" ht="15" hidden="false" customHeight="false" outlineLevel="0" collapsed="false">
      <c r="B283" s="56" t="n">
        <v>270</v>
      </c>
      <c r="C283" s="37" t="n">
        <f aca="false">G282</f>
        <v>0</v>
      </c>
      <c r="D283" s="37" t="n">
        <f aca="false">E283+F283</f>
        <v>0</v>
      </c>
      <c r="E283" s="37" t="n">
        <f aca="false">IF(B283&lt;=$D$6,C283*$D$5/12,0)</f>
        <v>0</v>
      </c>
      <c r="F283" s="37" t="n">
        <f aca="false">IF(B283&lt;=$D$6,IF(B283=$D$6,C283,MIN($D$7-E283,C283)),0)</f>
        <v>0</v>
      </c>
      <c r="G283" s="37" t="n">
        <f aca="false">C283-F283</f>
        <v>0</v>
      </c>
    </row>
    <row r="284" customFormat="false" ht="15" hidden="false" customHeight="false" outlineLevel="0" collapsed="false">
      <c r="B284" s="56" t="n">
        <v>271</v>
      </c>
      <c r="C284" s="37" t="n">
        <f aca="false">G283</f>
        <v>0</v>
      </c>
      <c r="D284" s="37" t="n">
        <f aca="false">E284+F284</f>
        <v>0</v>
      </c>
      <c r="E284" s="37" t="n">
        <f aca="false">IF(B284&lt;=$D$6,C284*$D$5/12,0)</f>
        <v>0</v>
      </c>
      <c r="F284" s="37" t="n">
        <f aca="false">IF(B284&lt;=$D$6,IF(B284=$D$6,C284,MIN($D$7-E284,C284)),0)</f>
        <v>0</v>
      </c>
      <c r="G284" s="37" t="n">
        <f aca="false">C284-F284</f>
        <v>0</v>
      </c>
    </row>
    <row r="285" customFormat="false" ht="15" hidden="false" customHeight="false" outlineLevel="0" collapsed="false">
      <c r="B285" s="56" t="n">
        <v>272</v>
      </c>
      <c r="C285" s="37" t="n">
        <f aca="false">G284</f>
        <v>0</v>
      </c>
      <c r="D285" s="37" t="n">
        <f aca="false">E285+F285</f>
        <v>0</v>
      </c>
      <c r="E285" s="37" t="n">
        <f aca="false">IF(B285&lt;=$D$6,C285*$D$5/12,0)</f>
        <v>0</v>
      </c>
      <c r="F285" s="37" t="n">
        <f aca="false">IF(B285&lt;=$D$6,IF(B285=$D$6,C285,MIN($D$7-E285,C285)),0)</f>
        <v>0</v>
      </c>
      <c r="G285" s="37" t="n">
        <f aca="false">C285-F285</f>
        <v>0</v>
      </c>
    </row>
    <row r="286" customFormat="false" ht="15" hidden="false" customHeight="false" outlineLevel="0" collapsed="false">
      <c r="B286" s="56" t="n">
        <v>273</v>
      </c>
      <c r="C286" s="37" t="n">
        <f aca="false">G285</f>
        <v>0</v>
      </c>
      <c r="D286" s="37" t="n">
        <f aca="false">E286+F286</f>
        <v>0</v>
      </c>
      <c r="E286" s="37" t="n">
        <f aca="false">IF(B286&lt;=$D$6,C286*$D$5/12,0)</f>
        <v>0</v>
      </c>
      <c r="F286" s="37" t="n">
        <f aca="false">IF(B286&lt;=$D$6,IF(B286=$D$6,C286,MIN($D$7-E286,C286)),0)</f>
        <v>0</v>
      </c>
      <c r="G286" s="37" t="n">
        <f aca="false">C286-F286</f>
        <v>0</v>
      </c>
    </row>
    <row r="287" customFormat="false" ht="15" hidden="false" customHeight="false" outlineLevel="0" collapsed="false">
      <c r="B287" s="56" t="n">
        <v>274</v>
      </c>
      <c r="C287" s="37" t="n">
        <f aca="false">G286</f>
        <v>0</v>
      </c>
      <c r="D287" s="37" t="n">
        <f aca="false">E287+F287</f>
        <v>0</v>
      </c>
      <c r="E287" s="37" t="n">
        <f aca="false">IF(B287&lt;=$D$6,C287*$D$5/12,0)</f>
        <v>0</v>
      </c>
      <c r="F287" s="37" t="n">
        <f aca="false">IF(B287&lt;=$D$6,IF(B287=$D$6,C287,MIN($D$7-E287,C287)),0)</f>
        <v>0</v>
      </c>
      <c r="G287" s="37" t="n">
        <f aca="false">C287-F287</f>
        <v>0</v>
      </c>
    </row>
    <row r="288" customFormat="false" ht="15" hidden="false" customHeight="false" outlineLevel="0" collapsed="false">
      <c r="B288" s="56" t="n">
        <v>275</v>
      </c>
      <c r="C288" s="37" t="n">
        <f aca="false">G287</f>
        <v>0</v>
      </c>
      <c r="D288" s="37" t="n">
        <f aca="false">E288+F288</f>
        <v>0</v>
      </c>
      <c r="E288" s="37" t="n">
        <f aca="false">IF(B288&lt;=$D$6,C288*$D$5/12,0)</f>
        <v>0</v>
      </c>
      <c r="F288" s="37" t="n">
        <f aca="false">IF(B288&lt;=$D$6,IF(B288=$D$6,C288,MIN($D$7-E288,C288)),0)</f>
        <v>0</v>
      </c>
      <c r="G288" s="37" t="n">
        <f aca="false">C288-F288</f>
        <v>0</v>
      </c>
    </row>
    <row r="289" customFormat="false" ht="15" hidden="false" customHeight="false" outlineLevel="0" collapsed="false">
      <c r="B289" s="56" t="n">
        <v>276</v>
      </c>
      <c r="C289" s="37" t="n">
        <f aca="false">G288</f>
        <v>0</v>
      </c>
      <c r="D289" s="37" t="n">
        <f aca="false">E289+F289</f>
        <v>0</v>
      </c>
      <c r="E289" s="37" t="n">
        <f aca="false">IF(B289&lt;=$D$6,C289*$D$5/12,0)</f>
        <v>0</v>
      </c>
      <c r="F289" s="37" t="n">
        <f aca="false">IF(B289&lt;=$D$6,IF(B289=$D$6,C289,MIN($D$7-E289,C289)),0)</f>
        <v>0</v>
      </c>
      <c r="G289" s="37" t="n">
        <f aca="false">C289-F289</f>
        <v>0</v>
      </c>
    </row>
    <row r="290" customFormat="false" ht="15" hidden="false" customHeight="false" outlineLevel="0" collapsed="false">
      <c r="B290" s="56" t="n">
        <v>277</v>
      </c>
      <c r="C290" s="37" t="n">
        <f aca="false">G289</f>
        <v>0</v>
      </c>
      <c r="D290" s="37" t="n">
        <f aca="false">E290+F290</f>
        <v>0</v>
      </c>
      <c r="E290" s="37" t="n">
        <f aca="false">IF(B290&lt;=$D$6,C290*$D$5/12,0)</f>
        <v>0</v>
      </c>
      <c r="F290" s="37" t="n">
        <f aca="false">IF(B290&lt;=$D$6,IF(B290=$D$6,C290,MIN($D$7-E290,C290)),0)</f>
        <v>0</v>
      </c>
      <c r="G290" s="37" t="n">
        <f aca="false">C290-F290</f>
        <v>0</v>
      </c>
    </row>
    <row r="291" customFormat="false" ht="15" hidden="false" customHeight="false" outlineLevel="0" collapsed="false">
      <c r="B291" s="56" t="n">
        <v>278</v>
      </c>
      <c r="C291" s="37" t="n">
        <f aca="false">G290</f>
        <v>0</v>
      </c>
      <c r="D291" s="37" t="n">
        <f aca="false">E291+F291</f>
        <v>0</v>
      </c>
      <c r="E291" s="37" t="n">
        <f aca="false">IF(B291&lt;=$D$6,C291*$D$5/12,0)</f>
        <v>0</v>
      </c>
      <c r="F291" s="37" t="n">
        <f aca="false">IF(B291&lt;=$D$6,IF(B291=$D$6,C291,MIN($D$7-E291,C291)),0)</f>
        <v>0</v>
      </c>
      <c r="G291" s="37" t="n">
        <f aca="false">C291-F291</f>
        <v>0</v>
      </c>
    </row>
    <row r="292" customFormat="false" ht="15" hidden="false" customHeight="false" outlineLevel="0" collapsed="false">
      <c r="B292" s="56" t="n">
        <v>279</v>
      </c>
      <c r="C292" s="37" t="n">
        <f aca="false">G291</f>
        <v>0</v>
      </c>
      <c r="D292" s="37" t="n">
        <f aca="false">E292+F292</f>
        <v>0</v>
      </c>
      <c r="E292" s="37" t="n">
        <f aca="false">IF(B292&lt;=$D$6,C292*$D$5/12,0)</f>
        <v>0</v>
      </c>
      <c r="F292" s="37" t="n">
        <f aca="false">IF(B292&lt;=$D$6,IF(B292=$D$6,C292,MIN($D$7-E292,C292)),0)</f>
        <v>0</v>
      </c>
      <c r="G292" s="37" t="n">
        <f aca="false">C292-F292</f>
        <v>0</v>
      </c>
    </row>
    <row r="293" customFormat="false" ht="15" hidden="false" customHeight="false" outlineLevel="0" collapsed="false">
      <c r="B293" s="56" t="n">
        <v>280</v>
      </c>
      <c r="C293" s="37" t="n">
        <f aca="false">G292</f>
        <v>0</v>
      </c>
      <c r="D293" s="37" t="n">
        <f aca="false">E293+F293</f>
        <v>0</v>
      </c>
      <c r="E293" s="37" t="n">
        <f aca="false">IF(B293&lt;=$D$6,C293*$D$5/12,0)</f>
        <v>0</v>
      </c>
      <c r="F293" s="37" t="n">
        <f aca="false">IF(B293&lt;=$D$6,IF(B293=$D$6,C293,MIN($D$7-E293,C293)),0)</f>
        <v>0</v>
      </c>
      <c r="G293" s="37" t="n">
        <f aca="false">C293-F293</f>
        <v>0</v>
      </c>
    </row>
    <row r="294" customFormat="false" ht="15" hidden="false" customHeight="false" outlineLevel="0" collapsed="false">
      <c r="B294" s="56" t="n">
        <v>281</v>
      </c>
      <c r="C294" s="37" t="n">
        <f aca="false">G293</f>
        <v>0</v>
      </c>
      <c r="D294" s="37" t="n">
        <f aca="false">E294+F294</f>
        <v>0</v>
      </c>
      <c r="E294" s="37" t="n">
        <f aca="false">IF(B294&lt;=$D$6,C294*$D$5/12,0)</f>
        <v>0</v>
      </c>
      <c r="F294" s="37" t="n">
        <f aca="false">IF(B294&lt;=$D$6,IF(B294=$D$6,C294,MIN($D$7-E294,C294)),0)</f>
        <v>0</v>
      </c>
      <c r="G294" s="37" t="n">
        <f aca="false">C294-F294</f>
        <v>0</v>
      </c>
    </row>
    <row r="295" customFormat="false" ht="15" hidden="false" customHeight="false" outlineLevel="0" collapsed="false">
      <c r="B295" s="56" t="n">
        <v>282</v>
      </c>
      <c r="C295" s="37" t="n">
        <f aca="false">G294</f>
        <v>0</v>
      </c>
      <c r="D295" s="37" t="n">
        <f aca="false">E295+F295</f>
        <v>0</v>
      </c>
      <c r="E295" s="37" t="n">
        <f aca="false">IF(B295&lt;=$D$6,C295*$D$5/12,0)</f>
        <v>0</v>
      </c>
      <c r="F295" s="37" t="n">
        <f aca="false">IF(B295&lt;=$D$6,IF(B295=$D$6,C295,MIN($D$7-E295,C295)),0)</f>
        <v>0</v>
      </c>
      <c r="G295" s="37" t="n">
        <f aca="false">C295-F295</f>
        <v>0</v>
      </c>
    </row>
    <row r="296" customFormat="false" ht="15" hidden="false" customHeight="false" outlineLevel="0" collapsed="false">
      <c r="B296" s="56" t="n">
        <v>283</v>
      </c>
      <c r="C296" s="37" t="n">
        <f aca="false">G295</f>
        <v>0</v>
      </c>
      <c r="D296" s="37" t="n">
        <f aca="false">E296+F296</f>
        <v>0</v>
      </c>
      <c r="E296" s="37" t="n">
        <f aca="false">IF(B296&lt;=$D$6,C296*$D$5/12,0)</f>
        <v>0</v>
      </c>
      <c r="F296" s="37" t="n">
        <f aca="false">IF(B296&lt;=$D$6,IF(B296=$D$6,C296,MIN($D$7-E296,C296)),0)</f>
        <v>0</v>
      </c>
      <c r="G296" s="37" t="n">
        <f aca="false">C296-F296</f>
        <v>0</v>
      </c>
    </row>
    <row r="297" customFormat="false" ht="15" hidden="false" customHeight="false" outlineLevel="0" collapsed="false">
      <c r="B297" s="56" t="n">
        <v>284</v>
      </c>
      <c r="C297" s="37" t="n">
        <f aca="false">G296</f>
        <v>0</v>
      </c>
      <c r="D297" s="37" t="n">
        <f aca="false">E297+F297</f>
        <v>0</v>
      </c>
      <c r="E297" s="37" t="n">
        <f aca="false">IF(B297&lt;=$D$6,C297*$D$5/12,0)</f>
        <v>0</v>
      </c>
      <c r="F297" s="37" t="n">
        <f aca="false">IF(B297&lt;=$D$6,IF(B297=$D$6,C297,MIN($D$7-E297,C297)),0)</f>
        <v>0</v>
      </c>
      <c r="G297" s="37" t="n">
        <f aca="false">C297-F297</f>
        <v>0</v>
      </c>
    </row>
    <row r="298" customFormat="false" ht="15" hidden="false" customHeight="false" outlineLevel="0" collapsed="false">
      <c r="B298" s="56" t="n">
        <v>285</v>
      </c>
      <c r="C298" s="37" t="n">
        <f aca="false">G297</f>
        <v>0</v>
      </c>
      <c r="D298" s="37" t="n">
        <f aca="false">E298+F298</f>
        <v>0</v>
      </c>
      <c r="E298" s="37" t="n">
        <f aca="false">IF(B298&lt;=$D$6,C298*$D$5/12,0)</f>
        <v>0</v>
      </c>
      <c r="F298" s="37" t="n">
        <f aca="false">IF(B298&lt;=$D$6,IF(B298=$D$6,C298,MIN($D$7-E298,C298)),0)</f>
        <v>0</v>
      </c>
      <c r="G298" s="37" t="n">
        <f aca="false">C298-F298</f>
        <v>0</v>
      </c>
    </row>
    <row r="299" customFormat="false" ht="15" hidden="false" customHeight="false" outlineLevel="0" collapsed="false">
      <c r="B299" s="56" t="n">
        <v>286</v>
      </c>
      <c r="C299" s="37" t="n">
        <f aca="false">G298</f>
        <v>0</v>
      </c>
      <c r="D299" s="37" t="n">
        <f aca="false">E299+F299</f>
        <v>0</v>
      </c>
      <c r="E299" s="37" t="n">
        <f aca="false">IF(B299&lt;=$D$6,C299*$D$5/12,0)</f>
        <v>0</v>
      </c>
      <c r="F299" s="37" t="n">
        <f aca="false">IF(B299&lt;=$D$6,IF(B299=$D$6,C299,MIN($D$7-E299,C299)),0)</f>
        <v>0</v>
      </c>
      <c r="G299" s="37" t="n">
        <f aca="false">C299-F299</f>
        <v>0</v>
      </c>
    </row>
    <row r="300" customFormat="false" ht="15" hidden="false" customHeight="false" outlineLevel="0" collapsed="false">
      <c r="B300" s="56" t="n">
        <v>287</v>
      </c>
      <c r="C300" s="37" t="n">
        <f aca="false">G299</f>
        <v>0</v>
      </c>
      <c r="D300" s="37" t="n">
        <f aca="false">E300+F300</f>
        <v>0</v>
      </c>
      <c r="E300" s="37" t="n">
        <f aca="false">IF(B300&lt;=$D$6,C300*$D$5/12,0)</f>
        <v>0</v>
      </c>
      <c r="F300" s="37" t="n">
        <f aca="false">IF(B300&lt;=$D$6,IF(B300=$D$6,C300,MIN($D$7-E300,C300)),0)</f>
        <v>0</v>
      </c>
      <c r="G300" s="37" t="n">
        <f aca="false">C300-F300</f>
        <v>0</v>
      </c>
    </row>
    <row r="301" customFormat="false" ht="15" hidden="false" customHeight="false" outlineLevel="0" collapsed="false">
      <c r="B301" s="56" t="n">
        <v>288</v>
      </c>
      <c r="C301" s="37" t="n">
        <f aca="false">G300</f>
        <v>0</v>
      </c>
      <c r="D301" s="37" t="n">
        <f aca="false">E301+F301</f>
        <v>0</v>
      </c>
      <c r="E301" s="37" t="n">
        <f aca="false">IF(B301&lt;=$D$6,C301*$D$5/12,0)</f>
        <v>0</v>
      </c>
      <c r="F301" s="37" t="n">
        <f aca="false">IF(B301&lt;=$D$6,IF(B301=$D$6,C301,MIN($D$7-E301,C301)),0)</f>
        <v>0</v>
      </c>
      <c r="G301" s="37" t="n">
        <f aca="false">C301-F301</f>
        <v>0</v>
      </c>
    </row>
    <row r="302" customFormat="false" ht="15" hidden="false" customHeight="false" outlineLevel="0" collapsed="false">
      <c r="B302" s="56" t="n">
        <v>289</v>
      </c>
      <c r="C302" s="37" t="n">
        <f aca="false">G301</f>
        <v>0</v>
      </c>
      <c r="D302" s="37" t="n">
        <f aca="false">E302+F302</f>
        <v>0</v>
      </c>
      <c r="E302" s="37" t="n">
        <f aca="false">IF(B302&lt;=$D$6,C302*$D$5/12,0)</f>
        <v>0</v>
      </c>
      <c r="F302" s="37" t="n">
        <f aca="false">IF(B302&lt;=$D$6,IF(B302=$D$6,C302,MIN($D$7-E302,C302)),0)</f>
        <v>0</v>
      </c>
      <c r="G302" s="37" t="n">
        <f aca="false">C302-F302</f>
        <v>0</v>
      </c>
    </row>
    <row r="303" customFormat="false" ht="15" hidden="false" customHeight="false" outlineLevel="0" collapsed="false">
      <c r="B303" s="56" t="n">
        <v>290</v>
      </c>
      <c r="C303" s="37" t="n">
        <f aca="false">G302</f>
        <v>0</v>
      </c>
      <c r="D303" s="37" t="n">
        <f aca="false">E303+F303</f>
        <v>0</v>
      </c>
      <c r="E303" s="37" t="n">
        <f aca="false">IF(B303&lt;=$D$6,C303*$D$5/12,0)</f>
        <v>0</v>
      </c>
      <c r="F303" s="37" t="n">
        <f aca="false">IF(B303&lt;=$D$6,IF(B303=$D$6,C303,MIN($D$7-E303,C303)),0)</f>
        <v>0</v>
      </c>
      <c r="G303" s="37" t="n">
        <f aca="false">C303-F303</f>
        <v>0</v>
      </c>
    </row>
    <row r="304" customFormat="false" ht="15" hidden="false" customHeight="false" outlineLevel="0" collapsed="false">
      <c r="B304" s="56" t="n">
        <v>291</v>
      </c>
      <c r="C304" s="37" t="n">
        <f aca="false">G303</f>
        <v>0</v>
      </c>
      <c r="D304" s="37" t="n">
        <f aca="false">E304+F304</f>
        <v>0</v>
      </c>
      <c r="E304" s="37" t="n">
        <f aca="false">IF(B304&lt;=$D$6,C304*$D$5/12,0)</f>
        <v>0</v>
      </c>
      <c r="F304" s="37" t="n">
        <f aca="false">IF(B304&lt;=$D$6,IF(B304=$D$6,C304,MIN($D$7-E304,C304)),0)</f>
        <v>0</v>
      </c>
      <c r="G304" s="37" t="n">
        <f aca="false">C304-F304</f>
        <v>0</v>
      </c>
    </row>
    <row r="305" customFormat="false" ht="15" hidden="false" customHeight="false" outlineLevel="0" collapsed="false">
      <c r="B305" s="56" t="n">
        <v>292</v>
      </c>
      <c r="C305" s="37" t="n">
        <f aca="false">G304</f>
        <v>0</v>
      </c>
      <c r="D305" s="37" t="n">
        <f aca="false">E305+F305</f>
        <v>0</v>
      </c>
      <c r="E305" s="37" t="n">
        <f aca="false">IF(B305&lt;=$D$6,C305*$D$5/12,0)</f>
        <v>0</v>
      </c>
      <c r="F305" s="37" t="n">
        <f aca="false">IF(B305&lt;=$D$6,IF(B305=$D$6,C305,MIN($D$7-E305,C305)),0)</f>
        <v>0</v>
      </c>
      <c r="G305" s="37" t="n">
        <f aca="false">C305-F305</f>
        <v>0</v>
      </c>
    </row>
    <row r="306" customFormat="false" ht="15" hidden="false" customHeight="false" outlineLevel="0" collapsed="false">
      <c r="B306" s="56" t="n">
        <v>293</v>
      </c>
      <c r="C306" s="37" t="n">
        <f aca="false">G305</f>
        <v>0</v>
      </c>
      <c r="D306" s="37" t="n">
        <f aca="false">E306+F306</f>
        <v>0</v>
      </c>
      <c r="E306" s="37" t="n">
        <f aca="false">IF(B306&lt;=$D$6,C306*$D$5/12,0)</f>
        <v>0</v>
      </c>
      <c r="F306" s="37" t="n">
        <f aca="false">IF(B306&lt;=$D$6,IF(B306=$D$6,C306,MIN($D$7-E306,C306)),0)</f>
        <v>0</v>
      </c>
      <c r="G306" s="37" t="n">
        <f aca="false">C306-F306</f>
        <v>0</v>
      </c>
    </row>
    <row r="307" customFormat="false" ht="15" hidden="false" customHeight="false" outlineLevel="0" collapsed="false">
      <c r="B307" s="56" t="n">
        <v>294</v>
      </c>
      <c r="C307" s="37" t="n">
        <f aca="false">G306</f>
        <v>0</v>
      </c>
      <c r="D307" s="37" t="n">
        <f aca="false">E307+F307</f>
        <v>0</v>
      </c>
      <c r="E307" s="37" t="n">
        <f aca="false">IF(B307&lt;=$D$6,C307*$D$5/12,0)</f>
        <v>0</v>
      </c>
      <c r="F307" s="37" t="n">
        <f aca="false">IF(B307&lt;=$D$6,IF(B307=$D$6,C307,MIN($D$7-E307,C307)),0)</f>
        <v>0</v>
      </c>
      <c r="G307" s="37" t="n">
        <f aca="false">C307-F307</f>
        <v>0</v>
      </c>
    </row>
    <row r="308" customFormat="false" ht="15" hidden="false" customHeight="false" outlineLevel="0" collapsed="false">
      <c r="B308" s="56" t="n">
        <v>295</v>
      </c>
      <c r="C308" s="37" t="n">
        <f aca="false">G307</f>
        <v>0</v>
      </c>
      <c r="D308" s="37" t="n">
        <f aca="false">E308+F308</f>
        <v>0</v>
      </c>
      <c r="E308" s="37" t="n">
        <f aca="false">IF(B308&lt;=$D$6,C308*$D$5/12,0)</f>
        <v>0</v>
      </c>
      <c r="F308" s="37" t="n">
        <f aca="false">IF(B308&lt;=$D$6,IF(B308=$D$6,C308,MIN($D$7-E308,C308)),0)</f>
        <v>0</v>
      </c>
      <c r="G308" s="37" t="n">
        <f aca="false">C308-F308</f>
        <v>0</v>
      </c>
    </row>
    <row r="309" customFormat="false" ht="15" hidden="false" customHeight="false" outlineLevel="0" collapsed="false">
      <c r="B309" s="56" t="n">
        <v>296</v>
      </c>
      <c r="C309" s="37" t="n">
        <f aca="false">G308</f>
        <v>0</v>
      </c>
      <c r="D309" s="37" t="n">
        <f aca="false">E309+F309</f>
        <v>0</v>
      </c>
      <c r="E309" s="37" t="n">
        <f aca="false">IF(B309&lt;=$D$6,C309*$D$5/12,0)</f>
        <v>0</v>
      </c>
      <c r="F309" s="37" t="n">
        <f aca="false">IF(B309&lt;=$D$6,IF(B309=$D$6,C309,MIN($D$7-E309,C309)),0)</f>
        <v>0</v>
      </c>
      <c r="G309" s="37" t="n">
        <f aca="false">C309-F309</f>
        <v>0</v>
      </c>
    </row>
    <row r="310" customFormat="false" ht="15" hidden="false" customHeight="false" outlineLevel="0" collapsed="false">
      <c r="B310" s="56" t="n">
        <v>297</v>
      </c>
      <c r="C310" s="37" t="n">
        <f aca="false">G309</f>
        <v>0</v>
      </c>
      <c r="D310" s="37" t="n">
        <f aca="false">E310+F310</f>
        <v>0</v>
      </c>
      <c r="E310" s="37" t="n">
        <f aca="false">IF(B310&lt;=$D$6,C310*$D$5/12,0)</f>
        <v>0</v>
      </c>
      <c r="F310" s="37" t="n">
        <f aca="false">IF(B310&lt;=$D$6,IF(B310=$D$6,C310,MIN($D$7-E310,C310)),0)</f>
        <v>0</v>
      </c>
      <c r="G310" s="37" t="n">
        <f aca="false">C310-F310</f>
        <v>0</v>
      </c>
    </row>
    <row r="311" customFormat="false" ht="15" hidden="false" customHeight="false" outlineLevel="0" collapsed="false">
      <c r="B311" s="56" t="n">
        <v>298</v>
      </c>
      <c r="C311" s="37" t="n">
        <f aca="false">G310</f>
        <v>0</v>
      </c>
      <c r="D311" s="37" t="n">
        <f aca="false">E311+F311</f>
        <v>0</v>
      </c>
      <c r="E311" s="37" t="n">
        <f aca="false">IF(B311&lt;=$D$6,C311*$D$5/12,0)</f>
        <v>0</v>
      </c>
      <c r="F311" s="37" t="n">
        <f aca="false">IF(B311&lt;=$D$6,IF(B311=$D$6,C311,MIN($D$7-E311,C311)),0)</f>
        <v>0</v>
      </c>
      <c r="G311" s="37" t="n">
        <f aca="false">C311-F311</f>
        <v>0</v>
      </c>
    </row>
    <row r="312" customFormat="false" ht="15" hidden="false" customHeight="false" outlineLevel="0" collapsed="false">
      <c r="B312" s="56" t="n">
        <v>299</v>
      </c>
      <c r="C312" s="37" t="n">
        <f aca="false">G311</f>
        <v>0</v>
      </c>
      <c r="D312" s="37" t="n">
        <f aca="false">E312+F312</f>
        <v>0</v>
      </c>
      <c r="E312" s="37" t="n">
        <f aca="false">IF(B312&lt;=$D$6,C312*$D$5/12,0)</f>
        <v>0</v>
      </c>
      <c r="F312" s="37" t="n">
        <f aca="false">IF(B312&lt;=$D$6,IF(B312=$D$6,C312,MIN($D$7-E312,C312)),0)</f>
        <v>0</v>
      </c>
      <c r="G312" s="37" t="n">
        <f aca="false">C312-F312</f>
        <v>0</v>
      </c>
    </row>
    <row r="313" customFormat="false" ht="15" hidden="false" customHeight="false" outlineLevel="0" collapsed="false">
      <c r="B313" s="56" t="n">
        <v>300</v>
      </c>
      <c r="C313" s="37" t="n">
        <f aca="false">G312</f>
        <v>0</v>
      </c>
      <c r="D313" s="37" t="n">
        <f aca="false">E313+F313</f>
        <v>0</v>
      </c>
      <c r="E313" s="37" t="n">
        <f aca="false">IF(B313&lt;=$D$6,C313*$D$5/12,0)</f>
        <v>0</v>
      </c>
      <c r="F313" s="37" t="n">
        <f aca="false">IF(B313&lt;=$D$6,IF(B313=$D$6,C313,MIN($D$7-E313,C313)),0)</f>
        <v>0</v>
      </c>
      <c r="G313" s="37" t="n">
        <f aca="false">C313-F313</f>
        <v>0</v>
      </c>
    </row>
    <row r="314" customFormat="false" ht="15" hidden="false" customHeight="false" outlineLevel="0" collapsed="false">
      <c r="B314" s="56" t="n">
        <v>301</v>
      </c>
      <c r="C314" s="37" t="n">
        <f aca="false">G313</f>
        <v>0</v>
      </c>
      <c r="D314" s="37" t="n">
        <f aca="false">E314+F314</f>
        <v>0</v>
      </c>
      <c r="E314" s="37" t="n">
        <f aca="false">IF(B314&lt;=$D$6,C314*$D$5/12,0)</f>
        <v>0</v>
      </c>
      <c r="F314" s="37" t="n">
        <f aca="false">IF(B314&lt;=$D$6,IF(B314=$D$6,C314,MIN($D$7-E314,C314)),0)</f>
        <v>0</v>
      </c>
      <c r="G314" s="37" t="n">
        <f aca="false">C314-F314</f>
        <v>0</v>
      </c>
    </row>
    <row r="315" customFormat="false" ht="15" hidden="false" customHeight="false" outlineLevel="0" collapsed="false">
      <c r="B315" s="56" t="n">
        <v>302</v>
      </c>
      <c r="C315" s="37" t="n">
        <f aca="false">G314</f>
        <v>0</v>
      </c>
      <c r="D315" s="37" t="n">
        <f aca="false">E315+F315</f>
        <v>0</v>
      </c>
      <c r="E315" s="37" t="n">
        <f aca="false">IF(B315&lt;=$D$6,C315*$D$5/12,0)</f>
        <v>0</v>
      </c>
      <c r="F315" s="37" t="n">
        <f aca="false">IF(B315&lt;=$D$6,IF(B315=$D$6,C315,MIN($D$7-E315,C315)),0)</f>
        <v>0</v>
      </c>
      <c r="G315" s="37" t="n">
        <f aca="false">C315-F315</f>
        <v>0</v>
      </c>
    </row>
    <row r="316" customFormat="false" ht="15" hidden="false" customHeight="false" outlineLevel="0" collapsed="false">
      <c r="B316" s="56" t="n">
        <v>303</v>
      </c>
      <c r="C316" s="37" t="n">
        <f aca="false">G315</f>
        <v>0</v>
      </c>
      <c r="D316" s="37" t="n">
        <f aca="false">E316+F316</f>
        <v>0</v>
      </c>
      <c r="E316" s="37" t="n">
        <f aca="false">IF(B316&lt;=$D$6,C316*$D$5/12,0)</f>
        <v>0</v>
      </c>
      <c r="F316" s="37" t="n">
        <f aca="false">IF(B316&lt;=$D$6,IF(B316=$D$6,C316,MIN($D$7-E316,C316)),0)</f>
        <v>0</v>
      </c>
      <c r="G316" s="37" t="n">
        <f aca="false">C316-F316</f>
        <v>0</v>
      </c>
    </row>
    <row r="317" customFormat="false" ht="15" hidden="false" customHeight="false" outlineLevel="0" collapsed="false">
      <c r="B317" s="56" t="n">
        <v>304</v>
      </c>
      <c r="C317" s="37" t="n">
        <f aca="false">G316</f>
        <v>0</v>
      </c>
      <c r="D317" s="37" t="n">
        <f aca="false">E317+F317</f>
        <v>0</v>
      </c>
      <c r="E317" s="37" t="n">
        <f aca="false">IF(B317&lt;=$D$6,C317*$D$5/12,0)</f>
        <v>0</v>
      </c>
      <c r="F317" s="37" t="n">
        <f aca="false">IF(B317&lt;=$D$6,IF(B317=$D$6,C317,MIN($D$7-E317,C317)),0)</f>
        <v>0</v>
      </c>
      <c r="G317" s="37" t="n">
        <f aca="false">C317-F317</f>
        <v>0</v>
      </c>
    </row>
    <row r="318" customFormat="false" ht="15" hidden="false" customHeight="false" outlineLevel="0" collapsed="false">
      <c r="B318" s="56" t="n">
        <v>305</v>
      </c>
      <c r="C318" s="37" t="n">
        <f aca="false">G317</f>
        <v>0</v>
      </c>
      <c r="D318" s="37" t="n">
        <f aca="false">E318+F318</f>
        <v>0</v>
      </c>
      <c r="E318" s="37" t="n">
        <f aca="false">IF(B318&lt;=$D$6,C318*$D$5/12,0)</f>
        <v>0</v>
      </c>
      <c r="F318" s="37" t="n">
        <f aca="false">IF(B318&lt;=$D$6,IF(B318=$D$6,C318,MIN($D$7-E318,C318)),0)</f>
        <v>0</v>
      </c>
      <c r="G318" s="37" t="n">
        <f aca="false">C318-F318</f>
        <v>0</v>
      </c>
    </row>
    <row r="319" customFormat="false" ht="15" hidden="false" customHeight="false" outlineLevel="0" collapsed="false">
      <c r="B319" s="56" t="n">
        <v>306</v>
      </c>
      <c r="C319" s="37" t="n">
        <f aca="false">G318</f>
        <v>0</v>
      </c>
      <c r="D319" s="37" t="n">
        <f aca="false">E319+F319</f>
        <v>0</v>
      </c>
      <c r="E319" s="37" t="n">
        <f aca="false">IF(B319&lt;=$D$6,C319*$D$5/12,0)</f>
        <v>0</v>
      </c>
      <c r="F319" s="37" t="n">
        <f aca="false">IF(B319&lt;=$D$6,IF(B319=$D$6,C319,MIN($D$7-E319,C319)),0)</f>
        <v>0</v>
      </c>
      <c r="G319" s="37" t="n">
        <f aca="false">C319-F319</f>
        <v>0</v>
      </c>
    </row>
    <row r="320" customFormat="false" ht="15" hidden="false" customHeight="false" outlineLevel="0" collapsed="false">
      <c r="B320" s="56" t="n">
        <v>307</v>
      </c>
      <c r="C320" s="37" t="n">
        <f aca="false">G319</f>
        <v>0</v>
      </c>
      <c r="D320" s="37" t="n">
        <f aca="false">E320+F320</f>
        <v>0</v>
      </c>
      <c r="E320" s="37" t="n">
        <f aca="false">IF(B320&lt;=$D$6,C320*$D$5/12,0)</f>
        <v>0</v>
      </c>
      <c r="F320" s="37" t="n">
        <f aca="false">IF(B320&lt;=$D$6,IF(B320=$D$6,C320,MIN($D$7-E320,C320)),0)</f>
        <v>0</v>
      </c>
      <c r="G320" s="37" t="n">
        <f aca="false">C320-F320</f>
        <v>0</v>
      </c>
    </row>
    <row r="321" customFormat="false" ht="15" hidden="false" customHeight="false" outlineLevel="0" collapsed="false">
      <c r="B321" s="56" t="n">
        <v>308</v>
      </c>
      <c r="C321" s="37" t="n">
        <f aca="false">G320</f>
        <v>0</v>
      </c>
      <c r="D321" s="37" t="n">
        <f aca="false">E321+F321</f>
        <v>0</v>
      </c>
      <c r="E321" s="37" t="n">
        <f aca="false">IF(B321&lt;=$D$6,C321*$D$5/12,0)</f>
        <v>0</v>
      </c>
      <c r="F321" s="37" t="n">
        <f aca="false">IF(B321&lt;=$D$6,IF(B321=$D$6,C321,MIN($D$7-E321,C321)),0)</f>
        <v>0</v>
      </c>
      <c r="G321" s="37" t="n">
        <f aca="false">C321-F321</f>
        <v>0</v>
      </c>
    </row>
    <row r="322" customFormat="false" ht="15" hidden="false" customHeight="false" outlineLevel="0" collapsed="false">
      <c r="B322" s="56" t="n">
        <v>309</v>
      </c>
      <c r="C322" s="37" t="n">
        <f aca="false">G321</f>
        <v>0</v>
      </c>
      <c r="D322" s="37" t="n">
        <f aca="false">E322+F322</f>
        <v>0</v>
      </c>
      <c r="E322" s="37" t="n">
        <f aca="false">IF(B322&lt;=$D$6,C322*$D$5/12,0)</f>
        <v>0</v>
      </c>
      <c r="F322" s="37" t="n">
        <f aca="false">IF(B322&lt;=$D$6,IF(B322=$D$6,C322,MIN($D$7-E322,C322)),0)</f>
        <v>0</v>
      </c>
      <c r="G322" s="37" t="n">
        <f aca="false">C322-F322</f>
        <v>0</v>
      </c>
    </row>
    <row r="323" customFormat="false" ht="15" hidden="false" customHeight="false" outlineLevel="0" collapsed="false">
      <c r="B323" s="56" t="n">
        <v>310</v>
      </c>
      <c r="C323" s="37" t="n">
        <f aca="false">G322</f>
        <v>0</v>
      </c>
      <c r="D323" s="37" t="n">
        <f aca="false">E323+F323</f>
        <v>0</v>
      </c>
      <c r="E323" s="37" t="n">
        <f aca="false">IF(B323&lt;=$D$6,C323*$D$5/12,0)</f>
        <v>0</v>
      </c>
      <c r="F323" s="37" t="n">
        <f aca="false">IF(B323&lt;=$D$6,IF(B323=$D$6,C323,MIN($D$7-E323,C323)),0)</f>
        <v>0</v>
      </c>
      <c r="G323" s="37" t="n">
        <f aca="false">C323-F323</f>
        <v>0</v>
      </c>
    </row>
    <row r="324" customFormat="false" ht="15" hidden="false" customHeight="false" outlineLevel="0" collapsed="false">
      <c r="B324" s="56" t="n">
        <v>311</v>
      </c>
      <c r="C324" s="37" t="n">
        <f aca="false">G323</f>
        <v>0</v>
      </c>
      <c r="D324" s="37" t="n">
        <f aca="false">E324+F324</f>
        <v>0</v>
      </c>
      <c r="E324" s="37" t="n">
        <f aca="false">IF(B324&lt;=$D$6,C324*$D$5/12,0)</f>
        <v>0</v>
      </c>
      <c r="F324" s="37" t="n">
        <f aca="false">IF(B324&lt;=$D$6,IF(B324=$D$6,C324,MIN($D$7-E324,C324)),0)</f>
        <v>0</v>
      </c>
      <c r="G324" s="37" t="n">
        <f aca="false">C324-F324</f>
        <v>0</v>
      </c>
    </row>
    <row r="325" customFormat="false" ht="15" hidden="false" customHeight="false" outlineLevel="0" collapsed="false">
      <c r="B325" s="56" t="n">
        <v>312</v>
      </c>
      <c r="C325" s="37" t="n">
        <f aca="false">G324</f>
        <v>0</v>
      </c>
      <c r="D325" s="37" t="n">
        <f aca="false">E325+F325</f>
        <v>0</v>
      </c>
      <c r="E325" s="37" t="n">
        <f aca="false">IF(B325&lt;=$D$6,C325*$D$5/12,0)</f>
        <v>0</v>
      </c>
      <c r="F325" s="37" t="n">
        <f aca="false">IF(B325&lt;=$D$6,IF(B325=$D$6,C325,MIN($D$7-E325,C325)),0)</f>
        <v>0</v>
      </c>
      <c r="G325" s="37" t="n">
        <f aca="false">C325-F325</f>
        <v>0</v>
      </c>
    </row>
    <row r="326" customFormat="false" ht="15" hidden="false" customHeight="false" outlineLevel="0" collapsed="false">
      <c r="B326" s="56" t="n">
        <v>313</v>
      </c>
      <c r="C326" s="37" t="n">
        <f aca="false">G325</f>
        <v>0</v>
      </c>
      <c r="D326" s="37" t="n">
        <f aca="false">E326+F326</f>
        <v>0</v>
      </c>
      <c r="E326" s="37" t="n">
        <f aca="false">IF(B326&lt;=$D$6,C326*$D$5/12,0)</f>
        <v>0</v>
      </c>
      <c r="F326" s="37" t="n">
        <f aca="false">IF(B326&lt;=$D$6,IF(B326=$D$6,C326,MIN($D$7-E326,C326)),0)</f>
        <v>0</v>
      </c>
      <c r="G326" s="37" t="n">
        <f aca="false">C326-F326</f>
        <v>0</v>
      </c>
    </row>
    <row r="327" customFormat="false" ht="15" hidden="false" customHeight="false" outlineLevel="0" collapsed="false">
      <c r="B327" s="56" t="n">
        <v>314</v>
      </c>
      <c r="C327" s="37" t="n">
        <f aca="false">G326</f>
        <v>0</v>
      </c>
      <c r="D327" s="37" t="n">
        <f aca="false">E327+F327</f>
        <v>0</v>
      </c>
      <c r="E327" s="37" t="n">
        <f aca="false">IF(B327&lt;=$D$6,C327*$D$5/12,0)</f>
        <v>0</v>
      </c>
      <c r="F327" s="37" t="n">
        <f aca="false">IF(B327&lt;=$D$6,IF(B327=$D$6,C327,MIN($D$7-E327,C327)),0)</f>
        <v>0</v>
      </c>
      <c r="G327" s="37" t="n">
        <f aca="false">C327-F327</f>
        <v>0</v>
      </c>
    </row>
    <row r="328" customFormat="false" ht="15" hidden="false" customHeight="false" outlineLevel="0" collapsed="false">
      <c r="B328" s="56" t="n">
        <v>315</v>
      </c>
      <c r="C328" s="37" t="n">
        <f aca="false">G327</f>
        <v>0</v>
      </c>
      <c r="D328" s="37" t="n">
        <f aca="false">E328+F328</f>
        <v>0</v>
      </c>
      <c r="E328" s="37" t="n">
        <f aca="false">IF(B328&lt;=$D$6,C328*$D$5/12,0)</f>
        <v>0</v>
      </c>
      <c r="F328" s="37" t="n">
        <f aca="false">IF(B328&lt;=$D$6,IF(B328=$D$6,C328,MIN($D$7-E328,C328)),0)</f>
        <v>0</v>
      </c>
      <c r="G328" s="37" t="n">
        <f aca="false">C328-F328</f>
        <v>0</v>
      </c>
    </row>
    <row r="329" customFormat="false" ht="15" hidden="false" customHeight="false" outlineLevel="0" collapsed="false">
      <c r="B329" s="56" t="n">
        <v>316</v>
      </c>
      <c r="C329" s="37" t="n">
        <f aca="false">G328</f>
        <v>0</v>
      </c>
      <c r="D329" s="37" t="n">
        <f aca="false">E329+F329</f>
        <v>0</v>
      </c>
      <c r="E329" s="37" t="n">
        <f aca="false">IF(B329&lt;=$D$6,C329*$D$5/12,0)</f>
        <v>0</v>
      </c>
      <c r="F329" s="37" t="n">
        <f aca="false">IF(B329&lt;=$D$6,IF(B329=$D$6,C329,MIN($D$7-E329,C329)),0)</f>
        <v>0</v>
      </c>
      <c r="G329" s="37" t="n">
        <f aca="false">C329-F329</f>
        <v>0</v>
      </c>
    </row>
    <row r="330" customFormat="false" ht="15" hidden="false" customHeight="false" outlineLevel="0" collapsed="false">
      <c r="B330" s="56" t="n">
        <v>317</v>
      </c>
      <c r="C330" s="37" t="n">
        <f aca="false">G329</f>
        <v>0</v>
      </c>
      <c r="D330" s="37" t="n">
        <f aca="false">E330+F330</f>
        <v>0</v>
      </c>
      <c r="E330" s="37" t="n">
        <f aca="false">IF(B330&lt;=$D$6,C330*$D$5/12,0)</f>
        <v>0</v>
      </c>
      <c r="F330" s="37" t="n">
        <f aca="false">IF(B330&lt;=$D$6,IF(B330=$D$6,C330,MIN($D$7-E330,C330)),0)</f>
        <v>0</v>
      </c>
      <c r="G330" s="37" t="n">
        <f aca="false">C330-F330</f>
        <v>0</v>
      </c>
    </row>
    <row r="331" customFormat="false" ht="15" hidden="false" customHeight="false" outlineLevel="0" collapsed="false">
      <c r="B331" s="56" t="n">
        <v>318</v>
      </c>
      <c r="C331" s="37" t="n">
        <f aca="false">G330</f>
        <v>0</v>
      </c>
      <c r="D331" s="37" t="n">
        <f aca="false">E331+F331</f>
        <v>0</v>
      </c>
      <c r="E331" s="37" t="n">
        <f aca="false">IF(B331&lt;=$D$6,C331*$D$5/12,0)</f>
        <v>0</v>
      </c>
      <c r="F331" s="37" t="n">
        <f aca="false">IF(B331&lt;=$D$6,IF(B331=$D$6,C331,MIN($D$7-E331,C331)),0)</f>
        <v>0</v>
      </c>
      <c r="G331" s="37" t="n">
        <f aca="false">C331-F331</f>
        <v>0</v>
      </c>
    </row>
    <row r="332" customFormat="false" ht="15" hidden="false" customHeight="false" outlineLevel="0" collapsed="false">
      <c r="B332" s="56" t="n">
        <v>319</v>
      </c>
      <c r="C332" s="37" t="n">
        <f aca="false">G331</f>
        <v>0</v>
      </c>
      <c r="D332" s="37" t="n">
        <f aca="false">E332+F332</f>
        <v>0</v>
      </c>
      <c r="E332" s="37" t="n">
        <f aca="false">IF(B332&lt;=$D$6,C332*$D$5/12,0)</f>
        <v>0</v>
      </c>
      <c r="F332" s="37" t="n">
        <f aca="false">IF(B332&lt;=$D$6,IF(B332=$D$6,C332,MIN($D$7-E332,C332)),0)</f>
        <v>0</v>
      </c>
      <c r="G332" s="37" t="n">
        <f aca="false">C332-F332</f>
        <v>0</v>
      </c>
    </row>
    <row r="333" customFormat="false" ht="15" hidden="false" customHeight="false" outlineLevel="0" collapsed="false">
      <c r="B333" s="56" t="n">
        <v>320</v>
      </c>
      <c r="C333" s="37" t="n">
        <f aca="false">G332</f>
        <v>0</v>
      </c>
      <c r="D333" s="37" t="n">
        <f aca="false">E333+F333</f>
        <v>0</v>
      </c>
      <c r="E333" s="37" t="n">
        <f aca="false">IF(B333&lt;=$D$6,C333*$D$5/12,0)</f>
        <v>0</v>
      </c>
      <c r="F333" s="37" t="n">
        <f aca="false">IF(B333&lt;=$D$6,IF(B333=$D$6,C333,MIN($D$7-E333,C333)),0)</f>
        <v>0</v>
      </c>
      <c r="G333" s="37" t="n">
        <f aca="false">C333-F333</f>
        <v>0</v>
      </c>
    </row>
    <row r="334" customFormat="false" ht="15" hidden="false" customHeight="false" outlineLevel="0" collapsed="false">
      <c r="B334" s="56" t="n">
        <v>321</v>
      </c>
      <c r="C334" s="37" t="n">
        <f aca="false">G333</f>
        <v>0</v>
      </c>
      <c r="D334" s="37" t="n">
        <f aca="false">E334+F334</f>
        <v>0</v>
      </c>
      <c r="E334" s="37" t="n">
        <f aca="false">IF(B334&lt;=$D$6,C334*$D$5/12,0)</f>
        <v>0</v>
      </c>
      <c r="F334" s="37" t="n">
        <f aca="false">IF(B334&lt;=$D$6,IF(B334=$D$6,C334,MIN($D$7-E334,C334)),0)</f>
        <v>0</v>
      </c>
      <c r="G334" s="37" t="n">
        <f aca="false">C334-F334</f>
        <v>0</v>
      </c>
    </row>
    <row r="335" customFormat="false" ht="15" hidden="false" customHeight="false" outlineLevel="0" collapsed="false">
      <c r="B335" s="56" t="n">
        <v>322</v>
      </c>
      <c r="C335" s="37" t="n">
        <f aca="false">G334</f>
        <v>0</v>
      </c>
      <c r="D335" s="37" t="n">
        <f aca="false">E335+F335</f>
        <v>0</v>
      </c>
      <c r="E335" s="37" t="n">
        <f aca="false">IF(B335&lt;=$D$6,C335*$D$5/12,0)</f>
        <v>0</v>
      </c>
      <c r="F335" s="37" t="n">
        <f aca="false">IF(B335&lt;=$D$6,IF(B335=$D$6,C335,MIN($D$7-E335,C335)),0)</f>
        <v>0</v>
      </c>
      <c r="G335" s="37" t="n">
        <f aca="false">C335-F335</f>
        <v>0</v>
      </c>
    </row>
    <row r="336" customFormat="false" ht="15" hidden="false" customHeight="false" outlineLevel="0" collapsed="false">
      <c r="B336" s="56" t="n">
        <v>323</v>
      </c>
      <c r="C336" s="37" t="n">
        <f aca="false">G335</f>
        <v>0</v>
      </c>
      <c r="D336" s="37" t="n">
        <f aca="false">E336+F336</f>
        <v>0</v>
      </c>
      <c r="E336" s="37" t="n">
        <f aca="false">IF(B336&lt;=$D$6,C336*$D$5/12,0)</f>
        <v>0</v>
      </c>
      <c r="F336" s="37" t="n">
        <f aca="false">IF(B336&lt;=$D$6,IF(B336=$D$6,C336,MIN($D$7-E336,C336)),0)</f>
        <v>0</v>
      </c>
      <c r="G336" s="37" t="n">
        <f aca="false">C336-F336</f>
        <v>0</v>
      </c>
    </row>
    <row r="337" customFormat="false" ht="15" hidden="false" customHeight="false" outlineLevel="0" collapsed="false">
      <c r="B337" s="56" t="n">
        <v>324</v>
      </c>
      <c r="C337" s="37" t="n">
        <f aca="false">G336</f>
        <v>0</v>
      </c>
      <c r="D337" s="37" t="n">
        <f aca="false">E337+F337</f>
        <v>0</v>
      </c>
      <c r="E337" s="37" t="n">
        <f aca="false">IF(B337&lt;=$D$6,C337*$D$5/12,0)</f>
        <v>0</v>
      </c>
      <c r="F337" s="37" t="n">
        <f aca="false">IF(B337&lt;=$D$6,IF(B337=$D$6,C337,MIN($D$7-E337,C337)),0)</f>
        <v>0</v>
      </c>
      <c r="G337" s="37" t="n">
        <f aca="false">C337-F337</f>
        <v>0</v>
      </c>
    </row>
    <row r="338" customFormat="false" ht="15" hidden="false" customHeight="false" outlineLevel="0" collapsed="false">
      <c r="B338" s="56" t="n">
        <v>325</v>
      </c>
      <c r="C338" s="37" t="n">
        <f aca="false">G337</f>
        <v>0</v>
      </c>
      <c r="D338" s="37" t="n">
        <f aca="false">E338+F338</f>
        <v>0</v>
      </c>
      <c r="E338" s="37" t="n">
        <f aca="false">IF(B338&lt;=$D$6,C338*$D$5/12,0)</f>
        <v>0</v>
      </c>
      <c r="F338" s="37" t="n">
        <f aca="false">IF(B338&lt;=$D$6,IF(B338=$D$6,C338,MIN($D$7-E338,C338)),0)</f>
        <v>0</v>
      </c>
      <c r="G338" s="37" t="n">
        <f aca="false">C338-F338</f>
        <v>0</v>
      </c>
    </row>
    <row r="339" customFormat="false" ht="15" hidden="false" customHeight="false" outlineLevel="0" collapsed="false">
      <c r="B339" s="56" t="n">
        <v>326</v>
      </c>
      <c r="C339" s="37" t="n">
        <f aca="false">G338</f>
        <v>0</v>
      </c>
      <c r="D339" s="37" t="n">
        <f aca="false">E339+F339</f>
        <v>0</v>
      </c>
      <c r="E339" s="37" t="n">
        <f aca="false">IF(B339&lt;=$D$6,C339*$D$5/12,0)</f>
        <v>0</v>
      </c>
      <c r="F339" s="37" t="n">
        <f aca="false">IF(B339&lt;=$D$6,IF(B339=$D$6,C339,MIN($D$7-E339,C339)),0)</f>
        <v>0</v>
      </c>
      <c r="G339" s="37" t="n">
        <f aca="false">C339-F339</f>
        <v>0</v>
      </c>
    </row>
    <row r="340" customFormat="false" ht="15" hidden="false" customHeight="false" outlineLevel="0" collapsed="false">
      <c r="B340" s="56" t="n">
        <v>327</v>
      </c>
      <c r="C340" s="37" t="n">
        <f aca="false">G339</f>
        <v>0</v>
      </c>
      <c r="D340" s="37" t="n">
        <f aca="false">E340+F340</f>
        <v>0</v>
      </c>
      <c r="E340" s="37" t="n">
        <f aca="false">IF(B340&lt;=$D$6,C340*$D$5/12,0)</f>
        <v>0</v>
      </c>
      <c r="F340" s="37" t="n">
        <f aca="false">IF(B340&lt;=$D$6,IF(B340=$D$6,C340,MIN($D$7-E340,C340)),0)</f>
        <v>0</v>
      </c>
      <c r="G340" s="37" t="n">
        <f aca="false">C340-F340</f>
        <v>0</v>
      </c>
    </row>
    <row r="341" customFormat="false" ht="15" hidden="false" customHeight="false" outlineLevel="0" collapsed="false">
      <c r="B341" s="56" t="n">
        <v>328</v>
      </c>
      <c r="C341" s="37" t="n">
        <f aca="false">G340</f>
        <v>0</v>
      </c>
      <c r="D341" s="37" t="n">
        <f aca="false">E341+F341</f>
        <v>0</v>
      </c>
      <c r="E341" s="37" t="n">
        <f aca="false">IF(B341&lt;=$D$6,C341*$D$5/12,0)</f>
        <v>0</v>
      </c>
      <c r="F341" s="37" t="n">
        <f aca="false">IF(B341&lt;=$D$6,IF(B341=$D$6,C341,MIN($D$7-E341,C341)),0)</f>
        <v>0</v>
      </c>
      <c r="G341" s="37" t="n">
        <f aca="false">C341-F341</f>
        <v>0</v>
      </c>
    </row>
    <row r="342" customFormat="false" ht="15" hidden="false" customHeight="false" outlineLevel="0" collapsed="false">
      <c r="B342" s="56" t="n">
        <v>329</v>
      </c>
      <c r="C342" s="37" t="n">
        <f aca="false">G341</f>
        <v>0</v>
      </c>
      <c r="D342" s="37" t="n">
        <f aca="false">E342+F342</f>
        <v>0</v>
      </c>
      <c r="E342" s="37" t="n">
        <f aca="false">IF(B342&lt;=$D$6,C342*$D$5/12,0)</f>
        <v>0</v>
      </c>
      <c r="F342" s="37" t="n">
        <f aca="false">IF(B342&lt;=$D$6,IF(B342=$D$6,C342,MIN($D$7-E342,C342)),0)</f>
        <v>0</v>
      </c>
      <c r="G342" s="37" t="n">
        <f aca="false">C342-F342</f>
        <v>0</v>
      </c>
    </row>
    <row r="343" customFormat="false" ht="15" hidden="false" customHeight="false" outlineLevel="0" collapsed="false">
      <c r="B343" s="56" t="n">
        <v>330</v>
      </c>
      <c r="C343" s="37" t="n">
        <f aca="false">G342</f>
        <v>0</v>
      </c>
      <c r="D343" s="37" t="n">
        <f aca="false">E343+F343</f>
        <v>0</v>
      </c>
      <c r="E343" s="37" t="n">
        <f aca="false">IF(B343&lt;=$D$6,C343*$D$5/12,0)</f>
        <v>0</v>
      </c>
      <c r="F343" s="37" t="n">
        <f aca="false">IF(B343&lt;=$D$6,IF(B343=$D$6,C343,MIN($D$7-E343,C343)),0)</f>
        <v>0</v>
      </c>
      <c r="G343" s="37" t="n">
        <f aca="false">C343-F343</f>
        <v>0</v>
      </c>
    </row>
    <row r="344" customFormat="false" ht="15" hidden="false" customHeight="false" outlineLevel="0" collapsed="false">
      <c r="B344" s="56" t="n">
        <v>331</v>
      </c>
      <c r="C344" s="37" t="n">
        <f aca="false">G343</f>
        <v>0</v>
      </c>
      <c r="D344" s="37" t="n">
        <f aca="false">E344+F344</f>
        <v>0</v>
      </c>
      <c r="E344" s="37" t="n">
        <f aca="false">IF(B344&lt;=$D$6,C344*$D$5/12,0)</f>
        <v>0</v>
      </c>
      <c r="F344" s="37" t="n">
        <f aca="false">IF(B344&lt;=$D$6,IF(B344=$D$6,C344,MIN($D$7-E344,C344)),0)</f>
        <v>0</v>
      </c>
      <c r="G344" s="37" t="n">
        <f aca="false">C344-F344</f>
        <v>0</v>
      </c>
    </row>
    <row r="345" customFormat="false" ht="15" hidden="false" customHeight="false" outlineLevel="0" collapsed="false">
      <c r="B345" s="56" t="n">
        <v>332</v>
      </c>
      <c r="C345" s="37" t="n">
        <f aca="false">G344</f>
        <v>0</v>
      </c>
      <c r="D345" s="37" t="n">
        <f aca="false">E345+F345</f>
        <v>0</v>
      </c>
      <c r="E345" s="37" t="n">
        <f aca="false">IF(B345&lt;=$D$6,C345*$D$5/12,0)</f>
        <v>0</v>
      </c>
      <c r="F345" s="37" t="n">
        <f aca="false">IF(B345&lt;=$D$6,IF(B345=$D$6,C345,MIN($D$7-E345,C345)),0)</f>
        <v>0</v>
      </c>
      <c r="G345" s="37" t="n">
        <f aca="false">C345-F345</f>
        <v>0</v>
      </c>
    </row>
    <row r="346" customFormat="false" ht="15" hidden="false" customHeight="false" outlineLevel="0" collapsed="false">
      <c r="B346" s="56" t="n">
        <v>333</v>
      </c>
      <c r="C346" s="37" t="n">
        <f aca="false">G345</f>
        <v>0</v>
      </c>
      <c r="D346" s="37" t="n">
        <f aca="false">E346+F346</f>
        <v>0</v>
      </c>
      <c r="E346" s="37" t="n">
        <f aca="false">IF(B346&lt;=$D$6,C346*$D$5/12,0)</f>
        <v>0</v>
      </c>
      <c r="F346" s="37" t="n">
        <f aca="false">IF(B346&lt;=$D$6,IF(B346=$D$6,C346,MIN($D$7-E346,C346)),0)</f>
        <v>0</v>
      </c>
      <c r="G346" s="37" t="n">
        <f aca="false">C346-F346</f>
        <v>0</v>
      </c>
    </row>
    <row r="347" customFormat="false" ht="15" hidden="false" customHeight="false" outlineLevel="0" collapsed="false">
      <c r="B347" s="56" t="n">
        <v>334</v>
      </c>
      <c r="C347" s="37" t="n">
        <f aca="false">G346</f>
        <v>0</v>
      </c>
      <c r="D347" s="37" t="n">
        <f aca="false">E347+F347</f>
        <v>0</v>
      </c>
      <c r="E347" s="37" t="n">
        <f aca="false">IF(B347&lt;=$D$6,C347*$D$5/12,0)</f>
        <v>0</v>
      </c>
      <c r="F347" s="37" t="n">
        <f aca="false">IF(B347&lt;=$D$6,IF(B347=$D$6,C347,MIN($D$7-E347,C347)),0)</f>
        <v>0</v>
      </c>
      <c r="G347" s="37" t="n">
        <f aca="false">C347-F347</f>
        <v>0</v>
      </c>
    </row>
    <row r="348" customFormat="false" ht="15" hidden="false" customHeight="false" outlineLevel="0" collapsed="false">
      <c r="B348" s="56" t="n">
        <v>335</v>
      </c>
      <c r="C348" s="37" t="n">
        <f aca="false">G347</f>
        <v>0</v>
      </c>
      <c r="D348" s="37" t="n">
        <f aca="false">E348+F348</f>
        <v>0</v>
      </c>
      <c r="E348" s="37" t="n">
        <f aca="false">IF(B348&lt;=$D$6,C348*$D$5/12,0)</f>
        <v>0</v>
      </c>
      <c r="F348" s="37" t="n">
        <f aca="false">IF(B348&lt;=$D$6,IF(B348=$D$6,C348,MIN($D$7-E348,C348)),0)</f>
        <v>0</v>
      </c>
      <c r="G348" s="37" t="n">
        <f aca="false">C348-F348</f>
        <v>0</v>
      </c>
    </row>
    <row r="349" customFormat="false" ht="15" hidden="false" customHeight="false" outlineLevel="0" collapsed="false">
      <c r="B349" s="56" t="n">
        <v>336</v>
      </c>
      <c r="C349" s="37" t="n">
        <f aca="false">G348</f>
        <v>0</v>
      </c>
      <c r="D349" s="37" t="n">
        <f aca="false">E349+F349</f>
        <v>0</v>
      </c>
      <c r="E349" s="37" t="n">
        <f aca="false">IF(B349&lt;=$D$6,C349*$D$5/12,0)</f>
        <v>0</v>
      </c>
      <c r="F349" s="37" t="n">
        <f aca="false">IF(B349&lt;=$D$6,IF(B349=$D$6,C349,MIN($D$7-E349,C349)),0)</f>
        <v>0</v>
      </c>
      <c r="G349" s="37" t="n">
        <f aca="false">C349-F349</f>
        <v>0</v>
      </c>
    </row>
    <row r="350" customFormat="false" ht="15" hidden="false" customHeight="false" outlineLevel="0" collapsed="false">
      <c r="B350" s="56" t="n">
        <v>337</v>
      </c>
      <c r="C350" s="37" t="n">
        <f aca="false">G349</f>
        <v>0</v>
      </c>
      <c r="D350" s="37" t="n">
        <f aca="false">E350+F350</f>
        <v>0</v>
      </c>
      <c r="E350" s="37" t="n">
        <f aca="false">IF(B350&lt;=$D$6,C350*$D$5/12,0)</f>
        <v>0</v>
      </c>
      <c r="F350" s="37" t="n">
        <f aca="false">IF(B350&lt;=$D$6,IF(B350=$D$6,C350,MIN($D$7-E350,C350)),0)</f>
        <v>0</v>
      </c>
      <c r="G350" s="37" t="n">
        <f aca="false">C350-F350</f>
        <v>0</v>
      </c>
    </row>
    <row r="351" customFormat="false" ht="15" hidden="false" customHeight="false" outlineLevel="0" collapsed="false">
      <c r="B351" s="56" t="n">
        <v>338</v>
      </c>
      <c r="C351" s="37" t="n">
        <f aca="false">G350</f>
        <v>0</v>
      </c>
      <c r="D351" s="37" t="n">
        <f aca="false">E351+F351</f>
        <v>0</v>
      </c>
      <c r="E351" s="37" t="n">
        <f aca="false">IF(B351&lt;=$D$6,C351*$D$5/12,0)</f>
        <v>0</v>
      </c>
      <c r="F351" s="37" t="n">
        <f aca="false">IF(B351&lt;=$D$6,IF(B351=$D$6,C351,MIN($D$7-E351,C351)),0)</f>
        <v>0</v>
      </c>
      <c r="G351" s="37" t="n">
        <f aca="false">C351-F351</f>
        <v>0</v>
      </c>
    </row>
    <row r="352" customFormat="false" ht="15" hidden="false" customHeight="false" outlineLevel="0" collapsed="false">
      <c r="B352" s="56" t="n">
        <v>339</v>
      </c>
      <c r="C352" s="37" t="n">
        <f aca="false">G351</f>
        <v>0</v>
      </c>
      <c r="D352" s="37" t="n">
        <f aca="false">E352+F352</f>
        <v>0</v>
      </c>
      <c r="E352" s="37" t="n">
        <f aca="false">IF(B352&lt;=$D$6,C352*$D$5/12,0)</f>
        <v>0</v>
      </c>
      <c r="F352" s="37" t="n">
        <f aca="false">IF(B352&lt;=$D$6,IF(B352=$D$6,C352,MIN($D$7-E352,C352)),0)</f>
        <v>0</v>
      </c>
      <c r="G352" s="37" t="n">
        <f aca="false">C352-F352</f>
        <v>0</v>
      </c>
    </row>
    <row r="353" customFormat="false" ht="15" hidden="false" customHeight="false" outlineLevel="0" collapsed="false">
      <c r="B353" s="56" t="n">
        <v>340</v>
      </c>
      <c r="C353" s="37" t="n">
        <f aca="false">G352</f>
        <v>0</v>
      </c>
      <c r="D353" s="37" t="n">
        <f aca="false">E353+F353</f>
        <v>0</v>
      </c>
      <c r="E353" s="37" t="n">
        <f aca="false">IF(B353&lt;=$D$6,C353*$D$5/12,0)</f>
        <v>0</v>
      </c>
      <c r="F353" s="37" t="n">
        <f aca="false">IF(B353&lt;=$D$6,IF(B353=$D$6,C353,MIN($D$7-E353,C353)),0)</f>
        <v>0</v>
      </c>
      <c r="G353" s="37" t="n">
        <f aca="false">C353-F353</f>
        <v>0</v>
      </c>
    </row>
    <row r="354" customFormat="false" ht="15" hidden="false" customHeight="false" outlineLevel="0" collapsed="false">
      <c r="B354" s="56" t="n">
        <v>341</v>
      </c>
      <c r="C354" s="37" t="n">
        <f aca="false">G353</f>
        <v>0</v>
      </c>
      <c r="D354" s="37" t="n">
        <f aca="false">E354+F354</f>
        <v>0</v>
      </c>
      <c r="E354" s="37" t="n">
        <f aca="false">IF(B354&lt;=$D$6,C354*$D$5/12,0)</f>
        <v>0</v>
      </c>
      <c r="F354" s="37" t="n">
        <f aca="false">IF(B354&lt;=$D$6,IF(B354=$D$6,C354,MIN($D$7-E354,C354)),0)</f>
        <v>0</v>
      </c>
      <c r="G354" s="37" t="n">
        <f aca="false">C354-F354</f>
        <v>0</v>
      </c>
    </row>
    <row r="355" customFormat="false" ht="15" hidden="false" customHeight="false" outlineLevel="0" collapsed="false">
      <c r="B355" s="56" t="n">
        <v>342</v>
      </c>
      <c r="C355" s="37" t="n">
        <f aca="false">G354</f>
        <v>0</v>
      </c>
      <c r="D355" s="37" t="n">
        <f aca="false">E355+F355</f>
        <v>0</v>
      </c>
      <c r="E355" s="37" t="n">
        <f aca="false">IF(B355&lt;=$D$6,C355*$D$5/12,0)</f>
        <v>0</v>
      </c>
      <c r="F355" s="37" t="n">
        <f aca="false">IF(B355&lt;=$D$6,IF(B355=$D$6,C355,MIN($D$7-E355,C355)),0)</f>
        <v>0</v>
      </c>
      <c r="G355" s="37" t="n">
        <f aca="false">C355-F355</f>
        <v>0</v>
      </c>
    </row>
    <row r="356" customFormat="false" ht="15" hidden="false" customHeight="false" outlineLevel="0" collapsed="false">
      <c r="B356" s="56" t="n">
        <v>343</v>
      </c>
      <c r="C356" s="37" t="n">
        <f aca="false">G355</f>
        <v>0</v>
      </c>
      <c r="D356" s="37" t="n">
        <f aca="false">E356+F356</f>
        <v>0</v>
      </c>
      <c r="E356" s="37" t="n">
        <f aca="false">IF(B356&lt;=$D$6,C356*$D$5/12,0)</f>
        <v>0</v>
      </c>
      <c r="F356" s="37" t="n">
        <f aca="false">IF(B356&lt;=$D$6,IF(B356=$D$6,C356,MIN($D$7-E356,C356)),0)</f>
        <v>0</v>
      </c>
      <c r="G356" s="37" t="n">
        <f aca="false">C356-F356</f>
        <v>0</v>
      </c>
    </row>
    <row r="357" customFormat="false" ht="15" hidden="false" customHeight="false" outlineLevel="0" collapsed="false">
      <c r="B357" s="56" t="n">
        <v>344</v>
      </c>
      <c r="C357" s="37" t="n">
        <f aca="false">G356</f>
        <v>0</v>
      </c>
      <c r="D357" s="37" t="n">
        <f aca="false">E357+F357</f>
        <v>0</v>
      </c>
      <c r="E357" s="37" t="n">
        <f aca="false">IF(B357&lt;=$D$6,C357*$D$5/12,0)</f>
        <v>0</v>
      </c>
      <c r="F357" s="37" t="n">
        <f aca="false">IF(B357&lt;=$D$6,IF(B357=$D$6,C357,MIN($D$7-E357,C357)),0)</f>
        <v>0</v>
      </c>
      <c r="G357" s="37" t="n">
        <f aca="false">C357-F357</f>
        <v>0</v>
      </c>
    </row>
    <row r="358" customFormat="false" ht="15" hidden="false" customHeight="false" outlineLevel="0" collapsed="false">
      <c r="B358" s="56" t="n">
        <v>345</v>
      </c>
      <c r="C358" s="37" t="n">
        <f aca="false">G357</f>
        <v>0</v>
      </c>
      <c r="D358" s="37" t="n">
        <f aca="false">E358+F358</f>
        <v>0</v>
      </c>
      <c r="E358" s="37" t="n">
        <f aca="false">IF(B358&lt;=$D$6,C358*$D$5/12,0)</f>
        <v>0</v>
      </c>
      <c r="F358" s="37" t="n">
        <f aca="false">IF(B358&lt;=$D$6,IF(B358=$D$6,C358,MIN($D$7-E358,C358)),0)</f>
        <v>0</v>
      </c>
      <c r="G358" s="37" t="n">
        <f aca="false">C358-F358</f>
        <v>0</v>
      </c>
    </row>
    <row r="359" customFormat="false" ht="15" hidden="false" customHeight="false" outlineLevel="0" collapsed="false">
      <c r="B359" s="56" t="n">
        <v>346</v>
      </c>
      <c r="C359" s="37" t="n">
        <f aca="false">G358</f>
        <v>0</v>
      </c>
      <c r="D359" s="37" t="n">
        <f aca="false">E359+F359</f>
        <v>0</v>
      </c>
      <c r="E359" s="37" t="n">
        <f aca="false">IF(B359&lt;=$D$6,C359*$D$5/12,0)</f>
        <v>0</v>
      </c>
      <c r="F359" s="37" t="n">
        <f aca="false">IF(B359&lt;=$D$6,IF(B359=$D$6,C359,MIN($D$7-E359,C359)),0)</f>
        <v>0</v>
      </c>
      <c r="G359" s="37" t="n">
        <f aca="false">C359-F359</f>
        <v>0</v>
      </c>
    </row>
    <row r="360" customFormat="false" ht="15" hidden="false" customHeight="false" outlineLevel="0" collapsed="false">
      <c r="B360" s="56" t="n">
        <v>347</v>
      </c>
      <c r="C360" s="37" t="n">
        <f aca="false">G359</f>
        <v>0</v>
      </c>
      <c r="D360" s="37" t="n">
        <f aca="false">E360+F360</f>
        <v>0</v>
      </c>
      <c r="E360" s="37" t="n">
        <f aca="false">IF(B360&lt;=$D$6,C360*$D$5/12,0)</f>
        <v>0</v>
      </c>
      <c r="F360" s="37" t="n">
        <f aca="false">IF(B360&lt;=$D$6,IF(B360=$D$6,C360,MIN($D$7-E360,C360)),0)</f>
        <v>0</v>
      </c>
      <c r="G360" s="37" t="n">
        <f aca="false">C360-F360</f>
        <v>0</v>
      </c>
    </row>
    <row r="361" customFormat="false" ht="15" hidden="false" customHeight="false" outlineLevel="0" collapsed="false">
      <c r="B361" s="56" t="n">
        <v>348</v>
      </c>
      <c r="C361" s="37" t="n">
        <f aca="false">G360</f>
        <v>0</v>
      </c>
      <c r="D361" s="37" t="n">
        <f aca="false">E361+F361</f>
        <v>0</v>
      </c>
      <c r="E361" s="37" t="n">
        <f aca="false">IF(B361&lt;=$D$6,C361*$D$5/12,0)</f>
        <v>0</v>
      </c>
      <c r="F361" s="37" t="n">
        <f aca="false">IF(B361&lt;=$D$6,IF(B361=$D$6,C361,MIN($D$7-E361,C361)),0)</f>
        <v>0</v>
      </c>
      <c r="G361" s="37" t="n">
        <f aca="false">C361-F361</f>
        <v>0</v>
      </c>
    </row>
    <row r="362" customFormat="false" ht="15" hidden="false" customHeight="false" outlineLevel="0" collapsed="false">
      <c r="B362" s="56" t="n">
        <v>349</v>
      </c>
      <c r="C362" s="37" t="n">
        <f aca="false">G361</f>
        <v>0</v>
      </c>
      <c r="D362" s="37" t="n">
        <f aca="false">E362+F362</f>
        <v>0</v>
      </c>
      <c r="E362" s="37" t="n">
        <f aca="false">IF(B362&lt;=$D$6,C362*$D$5/12,0)</f>
        <v>0</v>
      </c>
      <c r="F362" s="37" t="n">
        <f aca="false">IF(B362&lt;=$D$6,IF(B362=$D$6,C362,MIN($D$7-E362,C362)),0)</f>
        <v>0</v>
      </c>
      <c r="G362" s="37" t="n">
        <f aca="false">C362-F362</f>
        <v>0</v>
      </c>
    </row>
    <row r="363" customFormat="false" ht="15" hidden="false" customHeight="false" outlineLevel="0" collapsed="false">
      <c r="B363" s="56" t="n">
        <v>350</v>
      </c>
      <c r="C363" s="37" t="n">
        <f aca="false">G362</f>
        <v>0</v>
      </c>
      <c r="D363" s="37" t="n">
        <f aca="false">E363+F363</f>
        <v>0</v>
      </c>
      <c r="E363" s="37" t="n">
        <f aca="false">IF(B363&lt;=$D$6,C363*$D$5/12,0)</f>
        <v>0</v>
      </c>
      <c r="F363" s="37" t="n">
        <f aca="false">IF(B363&lt;=$D$6,IF(B363=$D$6,C363,MIN($D$7-E363,C363)),0)</f>
        <v>0</v>
      </c>
      <c r="G363" s="37" t="n">
        <f aca="false">C363-F363</f>
        <v>0</v>
      </c>
    </row>
    <row r="364" customFormat="false" ht="15" hidden="false" customHeight="false" outlineLevel="0" collapsed="false">
      <c r="B364" s="56" t="n">
        <v>351</v>
      </c>
      <c r="C364" s="37" t="n">
        <f aca="false">G363</f>
        <v>0</v>
      </c>
      <c r="D364" s="37" t="n">
        <f aca="false">E364+F364</f>
        <v>0</v>
      </c>
      <c r="E364" s="37" t="n">
        <f aca="false">IF(B364&lt;=$D$6,C364*$D$5/12,0)</f>
        <v>0</v>
      </c>
      <c r="F364" s="37" t="n">
        <f aca="false">IF(B364&lt;=$D$6,IF(B364=$D$6,C364,MIN($D$7-E364,C364)),0)</f>
        <v>0</v>
      </c>
      <c r="G364" s="37" t="n">
        <f aca="false">C364-F364</f>
        <v>0</v>
      </c>
    </row>
    <row r="365" customFormat="false" ht="15" hidden="false" customHeight="false" outlineLevel="0" collapsed="false">
      <c r="B365" s="56" t="n">
        <v>352</v>
      </c>
      <c r="C365" s="37" t="n">
        <f aca="false">G364</f>
        <v>0</v>
      </c>
      <c r="D365" s="37" t="n">
        <f aca="false">E365+F365</f>
        <v>0</v>
      </c>
      <c r="E365" s="37" t="n">
        <f aca="false">IF(B365&lt;=$D$6,C365*$D$5/12,0)</f>
        <v>0</v>
      </c>
      <c r="F365" s="37" t="n">
        <f aca="false">IF(B365&lt;=$D$6,IF(B365=$D$6,C365,MIN($D$7-E365,C365)),0)</f>
        <v>0</v>
      </c>
      <c r="G365" s="37" t="n">
        <f aca="false">C365-F365</f>
        <v>0</v>
      </c>
    </row>
    <row r="366" customFormat="false" ht="15" hidden="false" customHeight="false" outlineLevel="0" collapsed="false">
      <c r="B366" s="56" t="n">
        <v>353</v>
      </c>
      <c r="C366" s="37" t="n">
        <f aca="false">G365</f>
        <v>0</v>
      </c>
      <c r="D366" s="37" t="n">
        <f aca="false">E366+F366</f>
        <v>0</v>
      </c>
      <c r="E366" s="37" t="n">
        <f aca="false">IF(B366&lt;=$D$6,C366*$D$5/12,0)</f>
        <v>0</v>
      </c>
      <c r="F366" s="37" t="n">
        <f aca="false">IF(B366&lt;=$D$6,IF(B366=$D$6,C366,MIN($D$7-E366,C366)),0)</f>
        <v>0</v>
      </c>
      <c r="G366" s="37" t="n">
        <f aca="false">C366-F366</f>
        <v>0</v>
      </c>
    </row>
    <row r="367" customFormat="false" ht="15" hidden="false" customHeight="false" outlineLevel="0" collapsed="false">
      <c r="B367" s="56" t="n">
        <v>354</v>
      </c>
      <c r="C367" s="37" t="n">
        <f aca="false">G366</f>
        <v>0</v>
      </c>
      <c r="D367" s="37" t="n">
        <f aca="false">E367+F367</f>
        <v>0</v>
      </c>
      <c r="E367" s="37" t="n">
        <f aca="false">IF(B367&lt;=$D$6,C367*$D$5/12,0)</f>
        <v>0</v>
      </c>
      <c r="F367" s="37" t="n">
        <f aca="false">IF(B367&lt;=$D$6,IF(B367=$D$6,C367,MIN($D$7-E367,C367)),0)</f>
        <v>0</v>
      </c>
      <c r="G367" s="37" t="n">
        <f aca="false">C367-F367</f>
        <v>0</v>
      </c>
    </row>
    <row r="368" customFormat="false" ht="15" hidden="false" customHeight="false" outlineLevel="0" collapsed="false">
      <c r="B368" s="56" t="n">
        <v>355</v>
      </c>
      <c r="C368" s="37" t="n">
        <f aca="false">G367</f>
        <v>0</v>
      </c>
      <c r="D368" s="37" t="n">
        <f aca="false">E368+F368</f>
        <v>0</v>
      </c>
      <c r="E368" s="37" t="n">
        <f aca="false">IF(B368&lt;=$D$6,C368*$D$5/12,0)</f>
        <v>0</v>
      </c>
      <c r="F368" s="37" t="n">
        <f aca="false">IF(B368&lt;=$D$6,IF(B368=$D$6,C368,MIN($D$7-E368,C368)),0)</f>
        <v>0</v>
      </c>
      <c r="G368" s="37" t="n">
        <f aca="false">C368-F368</f>
        <v>0</v>
      </c>
    </row>
    <row r="369" customFormat="false" ht="15" hidden="false" customHeight="false" outlineLevel="0" collapsed="false">
      <c r="B369" s="56" t="n">
        <v>356</v>
      </c>
      <c r="C369" s="37" t="n">
        <f aca="false">G368</f>
        <v>0</v>
      </c>
      <c r="D369" s="37" t="n">
        <f aca="false">E369+F369</f>
        <v>0</v>
      </c>
      <c r="E369" s="37" t="n">
        <f aca="false">IF(B369&lt;=$D$6,C369*$D$5/12,0)</f>
        <v>0</v>
      </c>
      <c r="F369" s="37" t="n">
        <f aca="false">IF(B369&lt;=$D$6,IF(B369=$D$6,C369,MIN($D$7-E369,C369)),0)</f>
        <v>0</v>
      </c>
      <c r="G369" s="37" t="n">
        <f aca="false">C369-F369</f>
        <v>0</v>
      </c>
    </row>
    <row r="370" customFormat="false" ht="15" hidden="false" customHeight="false" outlineLevel="0" collapsed="false">
      <c r="B370" s="56" t="n">
        <v>357</v>
      </c>
      <c r="C370" s="37" t="n">
        <f aca="false">G369</f>
        <v>0</v>
      </c>
      <c r="D370" s="37" t="n">
        <f aca="false">E370+F370</f>
        <v>0</v>
      </c>
      <c r="E370" s="37" t="n">
        <f aca="false">IF(B370&lt;=$D$6,C370*$D$5/12,0)</f>
        <v>0</v>
      </c>
      <c r="F370" s="37" t="n">
        <f aca="false">IF(B370&lt;=$D$6,IF(B370=$D$6,C370,MIN($D$7-E370,C370)),0)</f>
        <v>0</v>
      </c>
      <c r="G370" s="37" t="n">
        <f aca="false">C370-F370</f>
        <v>0</v>
      </c>
    </row>
    <row r="371" customFormat="false" ht="15" hidden="false" customHeight="false" outlineLevel="0" collapsed="false">
      <c r="B371" s="56" t="n">
        <v>358</v>
      </c>
      <c r="C371" s="37" t="n">
        <f aca="false">G370</f>
        <v>0</v>
      </c>
      <c r="D371" s="37" t="n">
        <f aca="false">E371+F371</f>
        <v>0</v>
      </c>
      <c r="E371" s="37" t="n">
        <f aca="false">IF(B371&lt;=$D$6,C371*$D$5/12,0)</f>
        <v>0</v>
      </c>
      <c r="F371" s="37" t="n">
        <f aca="false">IF(B371&lt;=$D$6,IF(B371=$D$6,C371,MIN($D$7-E371,C371)),0)</f>
        <v>0</v>
      </c>
      <c r="G371" s="37" t="n">
        <f aca="false">C371-F371</f>
        <v>0</v>
      </c>
    </row>
    <row r="372" customFormat="false" ht="15" hidden="false" customHeight="false" outlineLevel="0" collapsed="false">
      <c r="B372" s="56" t="n">
        <v>359</v>
      </c>
      <c r="C372" s="37" t="n">
        <f aca="false">G371</f>
        <v>0</v>
      </c>
      <c r="D372" s="37" t="n">
        <f aca="false">E372+F372</f>
        <v>0</v>
      </c>
      <c r="E372" s="37" t="n">
        <f aca="false">IF(B372&lt;=$D$6,C372*$D$5/12,0)</f>
        <v>0</v>
      </c>
      <c r="F372" s="37" t="n">
        <f aca="false">IF(B372&lt;=$D$6,IF(B372=$D$6,C372,MIN($D$7-E372,C372)),0)</f>
        <v>0</v>
      </c>
      <c r="G372" s="37" t="n">
        <f aca="false">C372-F372</f>
        <v>0</v>
      </c>
    </row>
    <row r="373" customFormat="false" ht="15" hidden="false" customHeight="false" outlineLevel="0" collapsed="false">
      <c r="B373" s="56" t="n">
        <v>360</v>
      </c>
      <c r="C373" s="37" t="n">
        <f aca="false">G372</f>
        <v>0</v>
      </c>
      <c r="D373" s="37" t="n">
        <f aca="false">E373+F373</f>
        <v>0</v>
      </c>
      <c r="E373" s="37" t="n">
        <f aca="false">IF(B373&lt;=$D$6,C373*$D$5/12,0)</f>
        <v>0</v>
      </c>
      <c r="F373" s="37" t="n">
        <f aca="false">IF(B373&lt;=$D$6,IF(B373=$D$6,C373,MIN($D$7-E373,C373)),0)</f>
        <v>0</v>
      </c>
      <c r="G373" s="37" t="n">
        <f aca="false">C373-F373</f>
        <v>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O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2" min="2" style="0" width="10"/>
    <col collapsed="false" customWidth="true" hidden="false" outlineLevel="0" max="62" min="3" style="0" width="11"/>
    <col collapsed="false" customWidth="true" hidden="false" outlineLevel="0" max="67" min="63" style="0" width="13"/>
  </cols>
  <sheetData>
    <row r="1" customFormat="false" ht="17.35" hidden="false" customHeight="false" outlineLevel="0" collapsed="false">
      <c r="A1" s="1" t="s">
        <v>373</v>
      </c>
    </row>
    <row r="2" customFormat="false" ht="15" hidden="false" customHeight="false" outlineLevel="0" collapsed="false">
      <c r="A2" s="2" t="s">
        <v>374</v>
      </c>
    </row>
    <row r="4" customFormat="false" ht="15" hidden="false" customHeight="false" outlineLevel="0" collapsed="false">
      <c r="A4" s="13" t="s">
        <v>216</v>
      </c>
      <c r="C4" s="28" t="n">
        <v>1</v>
      </c>
      <c r="D4" s="28" t="n">
        <v>2</v>
      </c>
      <c r="E4" s="28" t="n">
        <v>3</v>
      </c>
      <c r="F4" s="28" t="n">
        <v>4</v>
      </c>
      <c r="G4" s="28" t="n">
        <v>5</v>
      </c>
      <c r="H4" s="28" t="n">
        <v>6</v>
      </c>
      <c r="I4" s="28" t="n">
        <v>7</v>
      </c>
      <c r="J4" s="28" t="n">
        <v>8</v>
      </c>
      <c r="K4" s="28" t="n">
        <v>9</v>
      </c>
      <c r="L4" s="28" t="n">
        <v>10</v>
      </c>
      <c r="M4" s="28" t="n">
        <v>11</v>
      </c>
      <c r="N4" s="28" t="n">
        <v>12</v>
      </c>
      <c r="O4" s="28" t="n">
        <v>13</v>
      </c>
      <c r="P4" s="28" t="n">
        <v>14</v>
      </c>
      <c r="Q4" s="28" t="n">
        <v>15</v>
      </c>
      <c r="R4" s="28" t="n">
        <v>16</v>
      </c>
      <c r="S4" s="28" t="n">
        <v>17</v>
      </c>
      <c r="T4" s="28" t="n">
        <v>18</v>
      </c>
      <c r="U4" s="28" t="n">
        <v>19</v>
      </c>
      <c r="V4" s="28" t="n">
        <v>20</v>
      </c>
      <c r="W4" s="28" t="n">
        <v>21</v>
      </c>
      <c r="X4" s="28" t="n">
        <v>22</v>
      </c>
      <c r="Y4" s="28" t="n">
        <v>23</v>
      </c>
      <c r="Z4" s="28" t="n">
        <v>24</v>
      </c>
      <c r="AA4" s="28" t="n">
        <v>25</v>
      </c>
      <c r="AB4" s="28" t="n">
        <v>26</v>
      </c>
      <c r="AC4" s="28" t="n">
        <v>27</v>
      </c>
      <c r="AD4" s="28" t="n">
        <v>28</v>
      </c>
      <c r="AE4" s="28" t="n">
        <v>29</v>
      </c>
      <c r="AF4" s="28" t="n">
        <v>30</v>
      </c>
      <c r="AG4" s="28" t="n">
        <v>31</v>
      </c>
      <c r="AH4" s="28" t="n">
        <v>32</v>
      </c>
      <c r="AI4" s="28" t="n">
        <v>33</v>
      </c>
      <c r="AJ4" s="28" t="n">
        <v>34</v>
      </c>
      <c r="AK4" s="28" t="n">
        <v>35</v>
      </c>
      <c r="AL4" s="28" t="n">
        <v>36</v>
      </c>
      <c r="AM4" s="28" t="n">
        <v>37</v>
      </c>
      <c r="AN4" s="28" t="n">
        <v>38</v>
      </c>
      <c r="AO4" s="28" t="n">
        <v>39</v>
      </c>
      <c r="AP4" s="28" t="n">
        <v>40</v>
      </c>
      <c r="AQ4" s="28" t="n">
        <v>41</v>
      </c>
      <c r="AR4" s="28" t="n">
        <v>42</v>
      </c>
      <c r="AS4" s="28" t="n">
        <v>43</v>
      </c>
      <c r="AT4" s="28" t="n">
        <v>44</v>
      </c>
      <c r="AU4" s="28" t="n">
        <v>45</v>
      </c>
      <c r="AV4" s="28" t="n">
        <v>46</v>
      </c>
      <c r="AW4" s="28" t="n">
        <v>47</v>
      </c>
      <c r="AX4" s="28" t="n">
        <v>48</v>
      </c>
      <c r="AY4" s="28" t="n">
        <v>49</v>
      </c>
      <c r="AZ4" s="28" t="n">
        <v>50</v>
      </c>
      <c r="BA4" s="28" t="n">
        <v>51</v>
      </c>
      <c r="BB4" s="28" t="n">
        <v>52</v>
      </c>
      <c r="BC4" s="28" t="n">
        <v>53</v>
      </c>
      <c r="BD4" s="28" t="n">
        <v>54</v>
      </c>
      <c r="BE4" s="28" t="n">
        <v>55</v>
      </c>
      <c r="BF4" s="28" t="n">
        <v>56</v>
      </c>
      <c r="BG4" s="28" t="n">
        <v>57</v>
      </c>
      <c r="BH4" s="28" t="n">
        <v>58</v>
      </c>
      <c r="BI4" s="28" t="n">
        <v>59</v>
      </c>
      <c r="BJ4" s="28" t="n">
        <v>60</v>
      </c>
      <c r="BK4" s="29" t="s">
        <v>375</v>
      </c>
      <c r="BL4" s="29" t="s">
        <v>375</v>
      </c>
      <c r="BM4" s="29" t="s">
        <v>375</v>
      </c>
      <c r="BN4" s="29" t="s">
        <v>375</v>
      </c>
      <c r="BO4" s="29" t="s">
        <v>375</v>
      </c>
    </row>
    <row r="5" customFormat="false" ht="15" hidden="false" customHeight="false" outlineLevel="0" collapsed="false">
      <c r="A5" s="13" t="s">
        <v>218</v>
      </c>
      <c r="C5" s="30" t="n">
        <f aca="false">INT((C4-1)/12)+1</f>
        <v>1</v>
      </c>
      <c r="D5" s="30" t="n">
        <f aca="false">INT((D4-1)/12)+1</f>
        <v>1</v>
      </c>
      <c r="E5" s="30" t="n">
        <f aca="false">INT((E4-1)/12)+1</f>
        <v>1</v>
      </c>
      <c r="F5" s="30" t="n">
        <f aca="false">INT((F4-1)/12)+1</f>
        <v>1</v>
      </c>
      <c r="G5" s="30" t="n">
        <f aca="false">INT((G4-1)/12)+1</f>
        <v>1</v>
      </c>
      <c r="H5" s="30" t="n">
        <f aca="false">INT((H4-1)/12)+1</f>
        <v>1</v>
      </c>
      <c r="I5" s="30" t="n">
        <f aca="false">INT((I4-1)/12)+1</f>
        <v>1</v>
      </c>
      <c r="J5" s="30" t="n">
        <f aca="false">INT((J4-1)/12)+1</f>
        <v>1</v>
      </c>
      <c r="K5" s="30" t="n">
        <f aca="false">INT((K4-1)/12)+1</f>
        <v>1</v>
      </c>
      <c r="L5" s="30" t="n">
        <f aca="false">INT((L4-1)/12)+1</f>
        <v>1</v>
      </c>
      <c r="M5" s="30" t="n">
        <f aca="false">INT((M4-1)/12)+1</f>
        <v>1</v>
      </c>
      <c r="N5" s="30" t="n">
        <f aca="false">INT((N4-1)/12)+1</f>
        <v>1</v>
      </c>
      <c r="O5" s="30" t="n">
        <f aca="false">INT((O4-1)/12)+1</f>
        <v>2</v>
      </c>
      <c r="P5" s="30" t="n">
        <f aca="false">INT((P4-1)/12)+1</f>
        <v>2</v>
      </c>
      <c r="Q5" s="30" t="n">
        <f aca="false">INT((Q4-1)/12)+1</f>
        <v>2</v>
      </c>
      <c r="R5" s="30" t="n">
        <f aca="false">INT((R4-1)/12)+1</f>
        <v>2</v>
      </c>
      <c r="S5" s="30" t="n">
        <f aca="false">INT((S4-1)/12)+1</f>
        <v>2</v>
      </c>
      <c r="T5" s="30" t="n">
        <f aca="false">INT((T4-1)/12)+1</f>
        <v>2</v>
      </c>
      <c r="U5" s="30" t="n">
        <f aca="false">INT((U4-1)/12)+1</f>
        <v>2</v>
      </c>
      <c r="V5" s="30" t="n">
        <f aca="false">INT((V4-1)/12)+1</f>
        <v>2</v>
      </c>
      <c r="W5" s="30" t="n">
        <f aca="false">INT((W4-1)/12)+1</f>
        <v>2</v>
      </c>
      <c r="X5" s="30" t="n">
        <f aca="false">INT((X4-1)/12)+1</f>
        <v>2</v>
      </c>
      <c r="Y5" s="30" t="n">
        <f aca="false">INT((Y4-1)/12)+1</f>
        <v>2</v>
      </c>
      <c r="Z5" s="30" t="n">
        <f aca="false">INT((Z4-1)/12)+1</f>
        <v>2</v>
      </c>
      <c r="AA5" s="30" t="n">
        <f aca="false">INT((AA4-1)/12)+1</f>
        <v>3</v>
      </c>
      <c r="AB5" s="30" t="n">
        <f aca="false">INT((AB4-1)/12)+1</f>
        <v>3</v>
      </c>
      <c r="AC5" s="30" t="n">
        <f aca="false">INT((AC4-1)/12)+1</f>
        <v>3</v>
      </c>
      <c r="AD5" s="30" t="n">
        <f aca="false">INT((AD4-1)/12)+1</f>
        <v>3</v>
      </c>
      <c r="AE5" s="30" t="n">
        <f aca="false">INT((AE4-1)/12)+1</f>
        <v>3</v>
      </c>
      <c r="AF5" s="30" t="n">
        <f aca="false">INT((AF4-1)/12)+1</f>
        <v>3</v>
      </c>
      <c r="AG5" s="30" t="n">
        <f aca="false">INT((AG4-1)/12)+1</f>
        <v>3</v>
      </c>
      <c r="AH5" s="30" t="n">
        <f aca="false">INT((AH4-1)/12)+1</f>
        <v>3</v>
      </c>
      <c r="AI5" s="30" t="n">
        <f aca="false">INT((AI4-1)/12)+1</f>
        <v>3</v>
      </c>
      <c r="AJ5" s="30" t="n">
        <f aca="false">INT((AJ4-1)/12)+1</f>
        <v>3</v>
      </c>
      <c r="AK5" s="30" t="n">
        <f aca="false">INT((AK4-1)/12)+1</f>
        <v>3</v>
      </c>
      <c r="AL5" s="30" t="n">
        <f aca="false">INT((AL4-1)/12)+1</f>
        <v>3</v>
      </c>
      <c r="AM5" s="30" t="n">
        <f aca="false">INT((AM4-1)/12)+1</f>
        <v>4</v>
      </c>
      <c r="AN5" s="30" t="n">
        <f aca="false">INT((AN4-1)/12)+1</f>
        <v>4</v>
      </c>
      <c r="AO5" s="30" t="n">
        <f aca="false">INT((AO4-1)/12)+1</f>
        <v>4</v>
      </c>
      <c r="AP5" s="30" t="n">
        <f aca="false">INT((AP4-1)/12)+1</f>
        <v>4</v>
      </c>
      <c r="AQ5" s="30" t="n">
        <f aca="false">INT((AQ4-1)/12)+1</f>
        <v>4</v>
      </c>
      <c r="AR5" s="30" t="n">
        <f aca="false">INT((AR4-1)/12)+1</f>
        <v>4</v>
      </c>
      <c r="AS5" s="30" t="n">
        <f aca="false">INT((AS4-1)/12)+1</f>
        <v>4</v>
      </c>
      <c r="AT5" s="30" t="n">
        <f aca="false">INT((AT4-1)/12)+1</f>
        <v>4</v>
      </c>
      <c r="AU5" s="30" t="n">
        <f aca="false">INT((AU4-1)/12)+1</f>
        <v>4</v>
      </c>
      <c r="AV5" s="30" t="n">
        <f aca="false">INT((AV4-1)/12)+1</f>
        <v>4</v>
      </c>
      <c r="AW5" s="30" t="n">
        <f aca="false">INT((AW4-1)/12)+1</f>
        <v>4</v>
      </c>
      <c r="AX5" s="30" t="n">
        <f aca="false">INT((AX4-1)/12)+1</f>
        <v>4</v>
      </c>
      <c r="AY5" s="30" t="n">
        <f aca="false">INT((AY4-1)/12)+1</f>
        <v>5</v>
      </c>
      <c r="AZ5" s="30" t="n">
        <f aca="false">INT((AZ4-1)/12)+1</f>
        <v>5</v>
      </c>
      <c r="BA5" s="30" t="n">
        <f aca="false">INT((BA4-1)/12)+1</f>
        <v>5</v>
      </c>
      <c r="BB5" s="30" t="n">
        <f aca="false">INT((BB4-1)/12)+1</f>
        <v>5</v>
      </c>
      <c r="BC5" s="30" t="n">
        <f aca="false">INT((BC4-1)/12)+1</f>
        <v>5</v>
      </c>
      <c r="BD5" s="30" t="n">
        <f aca="false">INT((BD4-1)/12)+1</f>
        <v>5</v>
      </c>
      <c r="BE5" s="30" t="n">
        <f aca="false">INT((BE4-1)/12)+1</f>
        <v>5</v>
      </c>
      <c r="BF5" s="30" t="n">
        <f aca="false">INT((BF4-1)/12)+1</f>
        <v>5</v>
      </c>
      <c r="BG5" s="30" t="n">
        <f aca="false">INT((BG4-1)/12)+1</f>
        <v>5</v>
      </c>
      <c r="BH5" s="30" t="n">
        <f aca="false">INT((BH4-1)/12)+1</f>
        <v>5</v>
      </c>
      <c r="BI5" s="30" t="n">
        <f aca="false">INT((BI4-1)/12)+1</f>
        <v>5</v>
      </c>
      <c r="BJ5" s="30" t="n">
        <f aca="false">INT((BJ4-1)/12)+1</f>
        <v>5</v>
      </c>
      <c r="BK5" s="28" t="n">
        <v>1</v>
      </c>
      <c r="BL5" s="28" t="n">
        <v>2</v>
      </c>
      <c r="BM5" s="28" t="n">
        <v>3</v>
      </c>
      <c r="BN5" s="28" t="n">
        <v>4</v>
      </c>
      <c r="BO5" s="28" t="n">
        <v>5</v>
      </c>
    </row>
    <row r="6" customFormat="false" ht="15" hidden="false" customHeight="false" outlineLevel="0" collapsed="false">
      <c r="A6" s="5" t="s">
        <v>219</v>
      </c>
      <c r="B6" s="5" t="s">
        <v>74</v>
      </c>
      <c r="C6" s="31" t="n">
        <f aca="false">EDATE(Assumptions!$C$7,C4-1)</f>
        <v>46388</v>
      </c>
      <c r="D6" s="31" t="n">
        <f aca="false">EDATE(Assumptions!$C$7,D4-1)</f>
        <v>46419</v>
      </c>
      <c r="E6" s="31" t="n">
        <f aca="false">EDATE(Assumptions!$C$7,E4-1)</f>
        <v>46447</v>
      </c>
      <c r="F6" s="31" t="n">
        <f aca="false">EDATE(Assumptions!$C$7,F4-1)</f>
        <v>46478</v>
      </c>
      <c r="G6" s="31" t="n">
        <f aca="false">EDATE(Assumptions!$C$7,G4-1)</f>
        <v>46508</v>
      </c>
      <c r="H6" s="31" t="n">
        <f aca="false">EDATE(Assumptions!$C$7,H4-1)</f>
        <v>46539</v>
      </c>
      <c r="I6" s="31" t="n">
        <f aca="false">EDATE(Assumptions!$C$7,I4-1)</f>
        <v>46569</v>
      </c>
      <c r="J6" s="31" t="n">
        <f aca="false">EDATE(Assumptions!$C$7,J4-1)</f>
        <v>46600</v>
      </c>
      <c r="K6" s="31" t="n">
        <f aca="false">EDATE(Assumptions!$C$7,K4-1)</f>
        <v>46631</v>
      </c>
      <c r="L6" s="31" t="n">
        <f aca="false">EDATE(Assumptions!$C$7,L4-1)</f>
        <v>46661</v>
      </c>
      <c r="M6" s="31" t="n">
        <f aca="false">EDATE(Assumptions!$C$7,M4-1)</f>
        <v>46692</v>
      </c>
      <c r="N6" s="31" t="n">
        <f aca="false">EDATE(Assumptions!$C$7,N4-1)</f>
        <v>46722</v>
      </c>
      <c r="O6" s="31" t="n">
        <f aca="false">EDATE(Assumptions!$C$7,O4-1)</f>
        <v>46753</v>
      </c>
      <c r="P6" s="31" t="n">
        <f aca="false">EDATE(Assumptions!$C$7,P4-1)</f>
        <v>46784</v>
      </c>
      <c r="Q6" s="31" t="n">
        <f aca="false">EDATE(Assumptions!$C$7,Q4-1)</f>
        <v>46813</v>
      </c>
      <c r="R6" s="31" t="n">
        <f aca="false">EDATE(Assumptions!$C$7,R4-1)</f>
        <v>46844</v>
      </c>
      <c r="S6" s="31" t="n">
        <f aca="false">EDATE(Assumptions!$C$7,S4-1)</f>
        <v>46874</v>
      </c>
      <c r="T6" s="31" t="n">
        <f aca="false">EDATE(Assumptions!$C$7,T4-1)</f>
        <v>46905</v>
      </c>
      <c r="U6" s="31" t="n">
        <f aca="false">EDATE(Assumptions!$C$7,U4-1)</f>
        <v>46935</v>
      </c>
      <c r="V6" s="31" t="n">
        <f aca="false">EDATE(Assumptions!$C$7,V4-1)</f>
        <v>46966</v>
      </c>
      <c r="W6" s="31" t="n">
        <f aca="false">EDATE(Assumptions!$C$7,W4-1)</f>
        <v>46997</v>
      </c>
      <c r="X6" s="31" t="n">
        <f aca="false">EDATE(Assumptions!$C$7,X4-1)</f>
        <v>47027</v>
      </c>
      <c r="Y6" s="31" t="n">
        <f aca="false">EDATE(Assumptions!$C$7,Y4-1)</f>
        <v>47058</v>
      </c>
      <c r="Z6" s="31" t="n">
        <f aca="false">EDATE(Assumptions!$C$7,Z4-1)</f>
        <v>47088</v>
      </c>
      <c r="AA6" s="31" t="n">
        <f aca="false">EDATE(Assumptions!$C$7,AA4-1)</f>
        <v>47119</v>
      </c>
      <c r="AB6" s="31" t="n">
        <f aca="false">EDATE(Assumptions!$C$7,AB4-1)</f>
        <v>47150</v>
      </c>
      <c r="AC6" s="31" t="n">
        <f aca="false">EDATE(Assumptions!$C$7,AC4-1)</f>
        <v>47178</v>
      </c>
      <c r="AD6" s="31" t="n">
        <f aca="false">EDATE(Assumptions!$C$7,AD4-1)</f>
        <v>47209</v>
      </c>
      <c r="AE6" s="31" t="n">
        <f aca="false">EDATE(Assumptions!$C$7,AE4-1)</f>
        <v>47239</v>
      </c>
      <c r="AF6" s="31" t="n">
        <f aca="false">EDATE(Assumptions!$C$7,AF4-1)</f>
        <v>47270</v>
      </c>
      <c r="AG6" s="31" t="n">
        <f aca="false">EDATE(Assumptions!$C$7,AG4-1)</f>
        <v>47300</v>
      </c>
      <c r="AH6" s="31" t="n">
        <f aca="false">EDATE(Assumptions!$C$7,AH4-1)</f>
        <v>47331</v>
      </c>
      <c r="AI6" s="31" t="n">
        <f aca="false">EDATE(Assumptions!$C$7,AI4-1)</f>
        <v>47362</v>
      </c>
      <c r="AJ6" s="31" t="n">
        <f aca="false">EDATE(Assumptions!$C$7,AJ4-1)</f>
        <v>47392</v>
      </c>
      <c r="AK6" s="31" t="n">
        <f aca="false">EDATE(Assumptions!$C$7,AK4-1)</f>
        <v>47423</v>
      </c>
      <c r="AL6" s="31" t="n">
        <f aca="false">EDATE(Assumptions!$C$7,AL4-1)</f>
        <v>47453</v>
      </c>
      <c r="AM6" s="31" t="n">
        <f aca="false">EDATE(Assumptions!$C$7,AM4-1)</f>
        <v>47484</v>
      </c>
      <c r="AN6" s="31" t="n">
        <f aca="false">EDATE(Assumptions!$C$7,AN4-1)</f>
        <v>47515</v>
      </c>
      <c r="AO6" s="31" t="n">
        <f aca="false">EDATE(Assumptions!$C$7,AO4-1)</f>
        <v>47543</v>
      </c>
      <c r="AP6" s="31" t="n">
        <f aca="false">EDATE(Assumptions!$C$7,AP4-1)</f>
        <v>47574</v>
      </c>
      <c r="AQ6" s="31" t="n">
        <f aca="false">EDATE(Assumptions!$C$7,AQ4-1)</f>
        <v>47604</v>
      </c>
      <c r="AR6" s="31" t="n">
        <f aca="false">EDATE(Assumptions!$C$7,AR4-1)</f>
        <v>47635</v>
      </c>
      <c r="AS6" s="31" t="n">
        <f aca="false">EDATE(Assumptions!$C$7,AS4-1)</f>
        <v>47665</v>
      </c>
      <c r="AT6" s="31" t="n">
        <f aca="false">EDATE(Assumptions!$C$7,AT4-1)</f>
        <v>47696</v>
      </c>
      <c r="AU6" s="31" t="n">
        <f aca="false">EDATE(Assumptions!$C$7,AU4-1)</f>
        <v>47727</v>
      </c>
      <c r="AV6" s="31" t="n">
        <f aca="false">EDATE(Assumptions!$C$7,AV4-1)</f>
        <v>47757</v>
      </c>
      <c r="AW6" s="31" t="n">
        <f aca="false">EDATE(Assumptions!$C$7,AW4-1)</f>
        <v>47788</v>
      </c>
      <c r="AX6" s="31" t="n">
        <f aca="false">EDATE(Assumptions!$C$7,AX4-1)</f>
        <v>47818</v>
      </c>
      <c r="AY6" s="31" t="n">
        <f aca="false">EDATE(Assumptions!$C$7,AY4-1)</f>
        <v>47849</v>
      </c>
      <c r="AZ6" s="31" t="n">
        <f aca="false">EDATE(Assumptions!$C$7,AZ4-1)</f>
        <v>47880</v>
      </c>
      <c r="BA6" s="31" t="n">
        <f aca="false">EDATE(Assumptions!$C$7,BA4-1)</f>
        <v>47908</v>
      </c>
      <c r="BB6" s="31" t="n">
        <f aca="false">EDATE(Assumptions!$C$7,BB4-1)</f>
        <v>47939</v>
      </c>
      <c r="BC6" s="31" t="n">
        <f aca="false">EDATE(Assumptions!$C$7,BC4-1)</f>
        <v>47969</v>
      </c>
      <c r="BD6" s="31" t="n">
        <f aca="false">EDATE(Assumptions!$C$7,BD4-1)</f>
        <v>48000</v>
      </c>
      <c r="BE6" s="31" t="n">
        <f aca="false">EDATE(Assumptions!$C$7,BE4-1)</f>
        <v>48030</v>
      </c>
      <c r="BF6" s="31" t="n">
        <f aca="false">EDATE(Assumptions!$C$7,BF4-1)</f>
        <v>48061</v>
      </c>
      <c r="BG6" s="31" t="n">
        <f aca="false">EDATE(Assumptions!$C$7,BG4-1)</f>
        <v>48092</v>
      </c>
      <c r="BH6" s="31" t="n">
        <f aca="false">EDATE(Assumptions!$C$7,BH4-1)</f>
        <v>48122</v>
      </c>
      <c r="BI6" s="31" t="n">
        <f aca="false">EDATE(Assumptions!$C$7,BI4-1)</f>
        <v>48153</v>
      </c>
      <c r="BJ6" s="31" t="n">
        <f aca="false">EDATE(Assumptions!$C$7,BJ4-1)</f>
        <v>48183</v>
      </c>
      <c r="BK6" s="32" t="s">
        <v>376</v>
      </c>
      <c r="BL6" s="32" t="s">
        <v>377</v>
      </c>
      <c r="BM6" s="32" t="s">
        <v>378</v>
      </c>
      <c r="BN6" s="32" t="s">
        <v>379</v>
      </c>
      <c r="BO6" s="32" t="s">
        <v>380</v>
      </c>
    </row>
    <row r="7" customFormat="false" ht="15" hidden="false" customHeight="false" outlineLevel="0" collapsed="false">
      <c r="A7" s="33" t="s">
        <v>381</v>
      </c>
      <c r="B7" s="34"/>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row>
    <row r="8" customFormat="false" ht="15" hidden="false" customHeight="false" outlineLevel="0" collapsed="false">
      <c r="A8" s="18" t="s">
        <v>382</v>
      </c>
      <c r="B8" s="2"/>
      <c r="C8" s="44" t="n">
        <f aca="false">'Cash Flow'!C15</f>
        <v>32199.7013913958</v>
      </c>
      <c r="D8" s="44" t="n">
        <f aca="false">'Cash Flow'!D15</f>
        <v>26639.0527827915</v>
      </c>
      <c r="E8" s="44" t="n">
        <f aca="false">'Cash Flow'!E15</f>
        <v>25060.0041741873</v>
      </c>
      <c r="F8" s="44" t="n">
        <f aca="false">'Cash Flow'!F15</f>
        <v>26964.855565583</v>
      </c>
      <c r="G8" s="44" t="n">
        <f aca="false">'Cash Flow'!G15</f>
        <v>32602.4569569788</v>
      </c>
      <c r="H8" s="44" t="n">
        <f aca="false">'Cash Flow'!H15</f>
        <v>40977.4083483746</v>
      </c>
      <c r="I8" s="44" t="n">
        <f aca="false">'Cash Flow'!I15</f>
        <v>44831.3597397703</v>
      </c>
      <c r="J8" s="44" t="n">
        <f aca="false">'Cash Flow'!J15</f>
        <v>47441.0611311661</v>
      </c>
      <c r="K8" s="44" t="n">
        <f aca="false">'Cash Flow'!K15</f>
        <v>50050.7625225618</v>
      </c>
      <c r="L8" s="44" t="n">
        <f aca="false">'Cash Flow'!L15</f>
        <v>52660.4639139576</v>
      </c>
      <c r="M8" s="44" t="n">
        <f aca="false">'Cash Flow'!M15</f>
        <v>54025.9153053533</v>
      </c>
      <c r="N8" s="44" t="n">
        <f aca="false">'Cash Flow'!N15</f>
        <v>55391.3666967491</v>
      </c>
      <c r="O8" s="44" t="n">
        <f aca="false">'Cash Flow'!O15</f>
        <v>57042.6745881449</v>
      </c>
      <c r="P8" s="44" t="n">
        <f aca="false">'Cash Flow'!P15</f>
        <v>58693.9824795406</v>
      </c>
      <c r="Q8" s="44" t="n">
        <f aca="false">'Cash Flow'!Q15</f>
        <v>63072.1538709364</v>
      </c>
      <c r="R8" s="44" t="n">
        <f aca="false">'Cash Flow'!R15</f>
        <v>68813.7570123322</v>
      </c>
      <c r="S8" s="44" t="n">
        <f aca="false">'Cash Flow'!S15</f>
        <v>75918.7919037279</v>
      </c>
      <c r="T8" s="44" t="n">
        <f aca="false">'Cash Flow'!T15</f>
        <v>83023.8267951237</v>
      </c>
      <c r="U8" s="44" t="n">
        <f aca="false">'Cash Flow'!U15</f>
        <v>88765.4299365195</v>
      </c>
      <c r="V8" s="44" t="n">
        <f aca="false">'Cash Flow'!V15</f>
        <v>93143.6013279152</v>
      </c>
      <c r="W8" s="44" t="n">
        <f aca="false">'Cash Flow'!W15</f>
        <v>97521.772719311</v>
      </c>
      <c r="X8" s="44" t="n">
        <f aca="false">'Cash Flow'!X15</f>
        <v>101899.944110707</v>
      </c>
      <c r="Y8" s="44" t="n">
        <f aca="false">'Cash Flow'!Y15</f>
        <v>104914.683752103</v>
      </c>
      <c r="Z8" s="44" t="n">
        <f aca="false">'Cash Flow'!Z15</f>
        <v>107929.423393498</v>
      </c>
      <c r="AA8" s="44" t="n">
        <f aca="false">'Cash Flow'!AA15</f>
        <v>107216.784697794</v>
      </c>
      <c r="AB8" s="44" t="n">
        <f aca="false">'Cash Flow'!AB15</f>
        <v>106504.14600209</v>
      </c>
      <c r="AC8" s="44" t="n">
        <f aca="false">'Cash Flow'!AC15</f>
        <v>108780.531124486</v>
      </c>
      <c r="AD8" s="44" t="n">
        <f aca="false">'Cash Flow'!AD15</f>
        <v>112551.428155931</v>
      </c>
      <c r="AE8" s="44" t="n">
        <f aca="false">'Cash Flow'!AE15</f>
        <v>117816.837096427</v>
      </c>
      <c r="AF8" s="44" t="n">
        <f aca="false">'Cash Flow'!AF15</f>
        <v>123082.246036923</v>
      </c>
      <c r="AG8" s="44" t="n">
        <f aca="false">'Cash Flow'!AG15</f>
        <v>126853.143068369</v>
      </c>
      <c r="AH8" s="44" t="n">
        <f aca="false">'Cash Flow'!AH15</f>
        <v>129129.528190764</v>
      </c>
      <c r="AI8" s="44" t="n">
        <f aca="false">'Cash Flow'!AI15</f>
        <v>131405.91331316</v>
      </c>
      <c r="AJ8" s="44" t="n">
        <f aca="false">'Cash Flow'!AJ15</f>
        <v>133682.298435556</v>
      </c>
      <c r="AK8" s="44" t="n">
        <f aca="false">'Cash Flow'!AK15</f>
        <v>134464.171648902</v>
      </c>
      <c r="AL8" s="44" t="n">
        <f aca="false">'Cash Flow'!AL15</f>
        <v>135246.044862247</v>
      </c>
      <c r="AM8" s="44" t="n">
        <f aca="false">'Cash Flow'!AM15</f>
        <v>136354.032716504</v>
      </c>
      <c r="AN8" s="44" t="n">
        <f aca="false">'Cash Flow'!AN15</f>
        <v>137462.02057076</v>
      </c>
      <c r="AO8" s="44" t="n">
        <f aca="false">'Cash Flow'!AO15</f>
        <v>141847.470930168</v>
      </c>
      <c r="AP8" s="44" t="n">
        <f aca="false">'Cash Flow'!AP15</f>
        <v>147871.652542151</v>
      </c>
      <c r="AQ8" s="44" t="n">
        <f aca="false">'Cash Flow'!AQ15</f>
        <v>155534.56540671</v>
      </c>
      <c r="AR8" s="44" t="n">
        <f aca="false">'Cash Flow'!AR15</f>
        <v>163197.478271268</v>
      </c>
      <c r="AS8" s="44" t="n">
        <f aca="false">'Cash Flow'!AS15</f>
        <v>169221.659883252</v>
      </c>
      <c r="AT8" s="44" t="n">
        <f aca="false">'Cash Flow'!AT15</f>
        <v>173607.110242659</v>
      </c>
      <c r="AU8" s="44" t="n">
        <f aca="false">'Cash Flow'!AU15</f>
        <v>177992.560602067</v>
      </c>
      <c r="AV8" s="44" t="n">
        <f aca="false">'Cash Flow'!AV15</f>
        <v>182378.010961474</v>
      </c>
      <c r="AW8" s="44" t="n">
        <f aca="false">'Cash Flow'!AW15</f>
        <v>185124.730068306</v>
      </c>
      <c r="AX8" s="44" t="n">
        <f aca="false">'Cash Flow'!AX15</f>
        <v>187871.449175138</v>
      </c>
      <c r="AY8" s="44" t="n">
        <f aca="false">'Cash Flow'!AY15</f>
        <v>191038.076009048</v>
      </c>
      <c r="AZ8" s="44" t="n">
        <f aca="false">'Cash Flow'!AZ15</f>
        <v>194204.702842957</v>
      </c>
      <c r="BA8" s="44" t="n">
        <f aca="false">'Cash Flow'!BA15</f>
        <v>200966.261100036</v>
      </c>
      <c r="BB8" s="44" t="n">
        <f aca="false">'Cash Flow'!BB15</f>
        <v>209525.285068698</v>
      </c>
      <c r="BC8" s="44" t="n">
        <f aca="false">'Cash Flow'!BC15</f>
        <v>219881.774748946</v>
      </c>
      <c r="BD8" s="44" t="n">
        <f aca="false">'Cash Flow'!BD15</f>
        <v>230238.264429193</v>
      </c>
      <c r="BE8" s="44" t="n">
        <f aca="false">'Cash Flow'!BE15</f>
        <v>238797.288397855</v>
      </c>
      <c r="BF8" s="44" t="n">
        <f aca="false">'Cash Flow'!BF15</f>
        <v>245558.846654934</v>
      </c>
      <c r="BG8" s="44" t="n">
        <f aca="false">'Cash Flow'!BG15</f>
        <v>252320.404912012</v>
      </c>
      <c r="BH8" s="44" t="n">
        <f aca="false">'Cash Flow'!BH15</f>
        <v>259081.96316909</v>
      </c>
      <c r="BI8" s="44" t="n">
        <f aca="false">'Cash Flow'!BI15</f>
        <v>264046.055714584</v>
      </c>
      <c r="BJ8" s="44" t="n">
        <f aca="false">'Cash Flow'!BJ15</f>
        <v>269010.148260078</v>
      </c>
      <c r="BK8" s="43" t="n">
        <f aca="false">INDEX($C8:$BJ8,BK$5*12)</f>
        <v>55391.3666967491</v>
      </c>
      <c r="BL8" s="43" t="n">
        <f aca="false">INDEX($C8:$BJ8,BL$5*12)</f>
        <v>107929.423393498</v>
      </c>
      <c r="BM8" s="43" t="n">
        <f aca="false">INDEX($C8:$BJ8,BM$5*12)</f>
        <v>135246.044862247</v>
      </c>
      <c r="BN8" s="43" t="n">
        <f aca="false">INDEX($C8:$BJ8,BN$5*12)</f>
        <v>187871.449175138</v>
      </c>
      <c r="BO8" s="43" t="n">
        <f aca="false">INDEX($C8:$BJ8,BO$5*12)</f>
        <v>269010.148260078</v>
      </c>
    </row>
    <row r="9" customFormat="false" ht="15" hidden="false" customHeight="false" outlineLevel="0" collapsed="false">
      <c r="A9" s="18" t="s">
        <v>383</v>
      </c>
      <c r="B9" s="2"/>
      <c r="C9" s="14" t="n">
        <f aca="false">Assumptions!$C$67</f>
        <v>10000</v>
      </c>
      <c r="D9" s="14" t="n">
        <f aca="false">Assumptions!$C$67</f>
        <v>10000</v>
      </c>
      <c r="E9" s="14" t="n">
        <f aca="false">Assumptions!$C$67</f>
        <v>10000</v>
      </c>
      <c r="F9" s="14" t="n">
        <f aca="false">Assumptions!$C$67</f>
        <v>10000</v>
      </c>
      <c r="G9" s="14" t="n">
        <f aca="false">Assumptions!$C$67</f>
        <v>10000</v>
      </c>
      <c r="H9" s="14" t="n">
        <f aca="false">Assumptions!$C$67</f>
        <v>10000</v>
      </c>
      <c r="I9" s="14" t="n">
        <f aca="false">Assumptions!$C$67</f>
        <v>10000</v>
      </c>
      <c r="J9" s="14" t="n">
        <f aca="false">Assumptions!$C$67</f>
        <v>10000</v>
      </c>
      <c r="K9" s="14" t="n">
        <f aca="false">Assumptions!$C$67</f>
        <v>10000</v>
      </c>
      <c r="L9" s="14" t="n">
        <f aca="false">Assumptions!$C$67</f>
        <v>10000</v>
      </c>
      <c r="M9" s="14" t="n">
        <f aca="false">Assumptions!$C$67</f>
        <v>10000</v>
      </c>
      <c r="N9" s="14" t="n">
        <f aca="false">Assumptions!$C$67</f>
        <v>10000</v>
      </c>
      <c r="O9" s="14" t="n">
        <f aca="false">Assumptions!$C$67</f>
        <v>10000</v>
      </c>
      <c r="P9" s="14" t="n">
        <f aca="false">Assumptions!$C$67</f>
        <v>10000</v>
      </c>
      <c r="Q9" s="14" t="n">
        <f aca="false">Assumptions!$C$67</f>
        <v>10000</v>
      </c>
      <c r="R9" s="14" t="n">
        <f aca="false">Assumptions!$C$67</f>
        <v>10000</v>
      </c>
      <c r="S9" s="14" t="n">
        <f aca="false">Assumptions!$C$67</f>
        <v>10000</v>
      </c>
      <c r="T9" s="14" t="n">
        <f aca="false">Assumptions!$C$67</f>
        <v>10000</v>
      </c>
      <c r="U9" s="14" t="n">
        <f aca="false">Assumptions!$C$67</f>
        <v>10000</v>
      </c>
      <c r="V9" s="14" t="n">
        <f aca="false">Assumptions!$C$67</f>
        <v>10000</v>
      </c>
      <c r="W9" s="14" t="n">
        <f aca="false">Assumptions!$C$67</f>
        <v>10000</v>
      </c>
      <c r="X9" s="14" t="n">
        <f aca="false">Assumptions!$C$67</f>
        <v>10000</v>
      </c>
      <c r="Y9" s="14" t="n">
        <f aca="false">Assumptions!$C$67</f>
        <v>10000</v>
      </c>
      <c r="Z9" s="14" t="n">
        <f aca="false">Assumptions!$C$67</f>
        <v>10000</v>
      </c>
      <c r="AA9" s="14" t="n">
        <f aca="false">Assumptions!$C$67</f>
        <v>10000</v>
      </c>
      <c r="AB9" s="14" t="n">
        <f aca="false">Assumptions!$C$67</f>
        <v>10000</v>
      </c>
      <c r="AC9" s="14" t="n">
        <f aca="false">Assumptions!$C$67</f>
        <v>10000</v>
      </c>
      <c r="AD9" s="14" t="n">
        <f aca="false">Assumptions!$C$67</f>
        <v>10000</v>
      </c>
      <c r="AE9" s="14" t="n">
        <f aca="false">Assumptions!$C$67</f>
        <v>10000</v>
      </c>
      <c r="AF9" s="14" t="n">
        <f aca="false">Assumptions!$C$67</f>
        <v>10000</v>
      </c>
      <c r="AG9" s="14" t="n">
        <f aca="false">Assumptions!$C$67</f>
        <v>10000</v>
      </c>
      <c r="AH9" s="14" t="n">
        <f aca="false">Assumptions!$C$67</f>
        <v>10000</v>
      </c>
      <c r="AI9" s="14" t="n">
        <f aca="false">Assumptions!$C$67</f>
        <v>10000</v>
      </c>
      <c r="AJ9" s="14" t="n">
        <f aca="false">Assumptions!$C$67</f>
        <v>10000</v>
      </c>
      <c r="AK9" s="14" t="n">
        <f aca="false">Assumptions!$C$67</f>
        <v>10000</v>
      </c>
      <c r="AL9" s="14" t="n">
        <f aca="false">Assumptions!$C$67</f>
        <v>10000</v>
      </c>
      <c r="AM9" s="14" t="n">
        <f aca="false">Assumptions!$C$67</f>
        <v>10000</v>
      </c>
      <c r="AN9" s="14" t="n">
        <f aca="false">Assumptions!$C$67</f>
        <v>10000</v>
      </c>
      <c r="AO9" s="14" t="n">
        <f aca="false">Assumptions!$C$67</f>
        <v>10000</v>
      </c>
      <c r="AP9" s="14" t="n">
        <f aca="false">Assumptions!$C$67</f>
        <v>10000</v>
      </c>
      <c r="AQ9" s="14" t="n">
        <f aca="false">Assumptions!$C$67</f>
        <v>10000</v>
      </c>
      <c r="AR9" s="14" t="n">
        <f aca="false">Assumptions!$C$67</f>
        <v>10000</v>
      </c>
      <c r="AS9" s="14" t="n">
        <f aca="false">Assumptions!$C$67</f>
        <v>10000</v>
      </c>
      <c r="AT9" s="14" t="n">
        <f aca="false">Assumptions!$C$67</f>
        <v>10000</v>
      </c>
      <c r="AU9" s="14" t="n">
        <f aca="false">Assumptions!$C$67</f>
        <v>10000</v>
      </c>
      <c r="AV9" s="14" t="n">
        <f aca="false">Assumptions!$C$67</f>
        <v>10000</v>
      </c>
      <c r="AW9" s="14" t="n">
        <f aca="false">Assumptions!$C$67</f>
        <v>10000</v>
      </c>
      <c r="AX9" s="14" t="n">
        <f aca="false">Assumptions!$C$67</f>
        <v>10000</v>
      </c>
      <c r="AY9" s="14" t="n">
        <f aca="false">Assumptions!$C$67</f>
        <v>10000</v>
      </c>
      <c r="AZ9" s="14" t="n">
        <f aca="false">Assumptions!$C$67</f>
        <v>10000</v>
      </c>
      <c r="BA9" s="14" t="n">
        <f aca="false">Assumptions!$C$67</f>
        <v>10000</v>
      </c>
      <c r="BB9" s="14" t="n">
        <f aca="false">Assumptions!$C$67</f>
        <v>10000</v>
      </c>
      <c r="BC9" s="14" t="n">
        <f aca="false">Assumptions!$C$67</f>
        <v>10000</v>
      </c>
      <c r="BD9" s="14" t="n">
        <f aca="false">Assumptions!$C$67</f>
        <v>10000</v>
      </c>
      <c r="BE9" s="14" t="n">
        <f aca="false">Assumptions!$C$67</f>
        <v>10000</v>
      </c>
      <c r="BF9" s="14" t="n">
        <f aca="false">Assumptions!$C$67</f>
        <v>10000</v>
      </c>
      <c r="BG9" s="14" t="n">
        <f aca="false">Assumptions!$C$67</f>
        <v>10000</v>
      </c>
      <c r="BH9" s="14" t="n">
        <f aca="false">Assumptions!$C$67</f>
        <v>10000</v>
      </c>
      <c r="BI9" s="14" t="n">
        <f aca="false">Assumptions!$C$67</f>
        <v>10000</v>
      </c>
      <c r="BJ9" s="14" t="n">
        <f aca="false">Assumptions!$C$67</f>
        <v>10000</v>
      </c>
      <c r="BK9" s="43" t="n">
        <f aca="false">INDEX($C9:$BJ9,BK$5*12)</f>
        <v>10000</v>
      </c>
      <c r="BL9" s="43" t="n">
        <f aca="false">INDEX($C9:$BJ9,BL$5*12)</f>
        <v>10000</v>
      </c>
      <c r="BM9" s="43" t="n">
        <f aca="false">INDEX($C9:$BJ9,BM$5*12)</f>
        <v>10000</v>
      </c>
      <c r="BN9" s="43" t="n">
        <f aca="false">INDEX($C9:$BJ9,BN$5*12)</f>
        <v>10000</v>
      </c>
      <c r="BO9" s="43" t="n">
        <f aca="false">INDEX($C9:$BJ9,BO$5*12)</f>
        <v>10000</v>
      </c>
    </row>
    <row r="10" customFormat="false" ht="15" hidden="false" customHeight="false" outlineLevel="0" collapsed="false">
      <c r="A10" s="18" t="s">
        <v>384</v>
      </c>
      <c r="B10" s="2"/>
      <c r="C10" s="14" t="n">
        <f aca="false">Assumptions!$C$68</f>
        <v>5000</v>
      </c>
      <c r="D10" s="14" t="n">
        <f aca="false">Assumptions!$C$68</f>
        <v>5000</v>
      </c>
      <c r="E10" s="14" t="n">
        <f aca="false">Assumptions!$C$68</f>
        <v>5000</v>
      </c>
      <c r="F10" s="14" t="n">
        <f aca="false">Assumptions!$C$68</f>
        <v>5000</v>
      </c>
      <c r="G10" s="14" t="n">
        <f aca="false">Assumptions!$C$68</f>
        <v>5000</v>
      </c>
      <c r="H10" s="14" t="n">
        <f aca="false">Assumptions!$C$68</f>
        <v>5000</v>
      </c>
      <c r="I10" s="14" t="n">
        <f aca="false">Assumptions!$C$68</f>
        <v>5000</v>
      </c>
      <c r="J10" s="14" t="n">
        <f aca="false">Assumptions!$C$68</f>
        <v>5000</v>
      </c>
      <c r="K10" s="14" t="n">
        <f aca="false">Assumptions!$C$68</f>
        <v>5000</v>
      </c>
      <c r="L10" s="14" t="n">
        <f aca="false">Assumptions!$C$68</f>
        <v>5000</v>
      </c>
      <c r="M10" s="14" t="n">
        <f aca="false">Assumptions!$C$68</f>
        <v>5000</v>
      </c>
      <c r="N10" s="14" t="n">
        <f aca="false">Assumptions!$C$68</f>
        <v>5000</v>
      </c>
      <c r="O10" s="14" t="n">
        <f aca="false">Assumptions!$C$68</f>
        <v>5000</v>
      </c>
      <c r="P10" s="14" t="n">
        <f aca="false">Assumptions!$C$68</f>
        <v>5000</v>
      </c>
      <c r="Q10" s="14" t="n">
        <f aca="false">Assumptions!$C$68</f>
        <v>5000</v>
      </c>
      <c r="R10" s="14" t="n">
        <f aca="false">Assumptions!$C$68</f>
        <v>5000</v>
      </c>
      <c r="S10" s="14" t="n">
        <f aca="false">Assumptions!$C$68</f>
        <v>5000</v>
      </c>
      <c r="T10" s="14" t="n">
        <f aca="false">Assumptions!$C$68</f>
        <v>5000</v>
      </c>
      <c r="U10" s="14" t="n">
        <f aca="false">Assumptions!$C$68</f>
        <v>5000</v>
      </c>
      <c r="V10" s="14" t="n">
        <f aca="false">Assumptions!$C$68</f>
        <v>5000</v>
      </c>
      <c r="W10" s="14" t="n">
        <f aca="false">Assumptions!$C$68</f>
        <v>5000</v>
      </c>
      <c r="X10" s="14" t="n">
        <f aca="false">Assumptions!$C$68</f>
        <v>5000</v>
      </c>
      <c r="Y10" s="14" t="n">
        <f aca="false">Assumptions!$C$68</f>
        <v>5000</v>
      </c>
      <c r="Z10" s="14" t="n">
        <f aca="false">Assumptions!$C$68</f>
        <v>5000</v>
      </c>
      <c r="AA10" s="14" t="n">
        <f aca="false">Assumptions!$C$68</f>
        <v>5000</v>
      </c>
      <c r="AB10" s="14" t="n">
        <f aca="false">Assumptions!$C$68</f>
        <v>5000</v>
      </c>
      <c r="AC10" s="14" t="n">
        <f aca="false">Assumptions!$C$68</f>
        <v>5000</v>
      </c>
      <c r="AD10" s="14" t="n">
        <f aca="false">Assumptions!$C$68</f>
        <v>5000</v>
      </c>
      <c r="AE10" s="14" t="n">
        <f aca="false">Assumptions!$C$68</f>
        <v>5000</v>
      </c>
      <c r="AF10" s="14" t="n">
        <f aca="false">Assumptions!$C$68</f>
        <v>5000</v>
      </c>
      <c r="AG10" s="14" t="n">
        <f aca="false">Assumptions!$C$68</f>
        <v>5000</v>
      </c>
      <c r="AH10" s="14" t="n">
        <f aca="false">Assumptions!$C$68</f>
        <v>5000</v>
      </c>
      <c r="AI10" s="14" t="n">
        <f aca="false">Assumptions!$C$68</f>
        <v>5000</v>
      </c>
      <c r="AJ10" s="14" t="n">
        <f aca="false">Assumptions!$C$68</f>
        <v>5000</v>
      </c>
      <c r="AK10" s="14" t="n">
        <f aca="false">Assumptions!$C$68</f>
        <v>5000</v>
      </c>
      <c r="AL10" s="14" t="n">
        <f aca="false">Assumptions!$C$68</f>
        <v>5000</v>
      </c>
      <c r="AM10" s="14" t="n">
        <f aca="false">Assumptions!$C$68</f>
        <v>5000</v>
      </c>
      <c r="AN10" s="14" t="n">
        <f aca="false">Assumptions!$C$68</f>
        <v>5000</v>
      </c>
      <c r="AO10" s="14" t="n">
        <f aca="false">Assumptions!$C$68</f>
        <v>5000</v>
      </c>
      <c r="AP10" s="14" t="n">
        <f aca="false">Assumptions!$C$68</f>
        <v>5000</v>
      </c>
      <c r="AQ10" s="14" t="n">
        <f aca="false">Assumptions!$C$68</f>
        <v>5000</v>
      </c>
      <c r="AR10" s="14" t="n">
        <f aca="false">Assumptions!$C$68</f>
        <v>5000</v>
      </c>
      <c r="AS10" s="14" t="n">
        <f aca="false">Assumptions!$C$68</f>
        <v>5000</v>
      </c>
      <c r="AT10" s="14" t="n">
        <f aca="false">Assumptions!$C$68</f>
        <v>5000</v>
      </c>
      <c r="AU10" s="14" t="n">
        <f aca="false">Assumptions!$C$68</f>
        <v>5000</v>
      </c>
      <c r="AV10" s="14" t="n">
        <f aca="false">Assumptions!$C$68</f>
        <v>5000</v>
      </c>
      <c r="AW10" s="14" t="n">
        <f aca="false">Assumptions!$C$68</f>
        <v>5000</v>
      </c>
      <c r="AX10" s="14" t="n">
        <f aca="false">Assumptions!$C$68</f>
        <v>5000</v>
      </c>
      <c r="AY10" s="14" t="n">
        <f aca="false">Assumptions!$C$68</f>
        <v>5000</v>
      </c>
      <c r="AZ10" s="14" t="n">
        <f aca="false">Assumptions!$C$68</f>
        <v>5000</v>
      </c>
      <c r="BA10" s="14" t="n">
        <f aca="false">Assumptions!$C$68</f>
        <v>5000</v>
      </c>
      <c r="BB10" s="14" t="n">
        <f aca="false">Assumptions!$C$68</f>
        <v>5000</v>
      </c>
      <c r="BC10" s="14" t="n">
        <f aca="false">Assumptions!$C$68</f>
        <v>5000</v>
      </c>
      <c r="BD10" s="14" t="n">
        <f aca="false">Assumptions!$C$68</f>
        <v>5000</v>
      </c>
      <c r="BE10" s="14" t="n">
        <f aca="false">Assumptions!$C$68</f>
        <v>5000</v>
      </c>
      <c r="BF10" s="14" t="n">
        <f aca="false">Assumptions!$C$68</f>
        <v>5000</v>
      </c>
      <c r="BG10" s="14" t="n">
        <f aca="false">Assumptions!$C$68</f>
        <v>5000</v>
      </c>
      <c r="BH10" s="14" t="n">
        <f aca="false">Assumptions!$C$68</f>
        <v>5000</v>
      </c>
      <c r="BI10" s="14" t="n">
        <f aca="false">Assumptions!$C$68</f>
        <v>5000</v>
      </c>
      <c r="BJ10" s="14" t="n">
        <f aca="false">Assumptions!$C$68</f>
        <v>5000</v>
      </c>
      <c r="BK10" s="43" t="n">
        <f aca="false">INDEX($C10:$BJ10,BK$5*12)</f>
        <v>5000</v>
      </c>
      <c r="BL10" s="43" t="n">
        <f aca="false">INDEX($C10:$BJ10,BL$5*12)</f>
        <v>5000</v>
      </c>
      <c r="BM10" s="43" t="n">
        <f aca="false">INDEX($C10:$BJ10,BM$5*12)</f>
        <v>5000</v>
      </c>
      <c r="BN10" s="43" t="n">
        <f aca="false">INDEX($C10:$BJ10,BN$5*12)</f>
        <v>5000</v>
      </c>
      <c r="BO10" s="43" t="n">
        <f aca="false">INDEX($C10:$BJ10,BO$5*12)</f>
        <v>5000</v>
      </c>
    </row>
    <row r="11" customFormat="false" ht="15" hidden="false" customHeight="false" outlineLevel="0" collapsed="false">
      <c r="A11" s="18" t="s">
        <v>385</v>
      </c>
      <c r="B11" s="2"/>
      <c r="C11" s="14" t="n">
        <f aca="false">Assumptions!$C$109</f>
        <v>94000</v>
      </c>
      <c r="D11" s="14" t="n">
        <f aca="false">Assumptions!$C$109</f>
        <v>94000</v>
      </c>
      <c r="E11" s="14" t="n">
        <f aca="false">Assumptions!$C$109</f>
        <v>94000</v>
      </c>
      <c r="F11" s="14" t="n">
        <f aca="false">Assumptions!$C$109</f>
        <v>94000</v>
      </c>
      <c r="G11" s="14" t="n">
        <f aca="false">Assumptions!$C$109</f>
        <v>94000</v>
      </c>
      <c r="H11" s="14" t="n">
        <f aca="false">Assumptions!$C$109</f>
        <v>94000</v>
      </c>
      <c r="I11" s="14" t="n">
        <f aca="false">Assumptions!$C$109</f>
        <v>94000</v>
      </c>
      <c r="J11" s="14" t="n">
        <f aca="false">Assumptions!$C$109</f>
        <v>94000</v>
      </c>
      <c r="K11" s="14" t="n">
        <f aca="false">Assumptions!$C$109</f>
        <v>94000</v>
      </c>
      <c r="L11" s="14" t="n">
        <f aca="false">Assumptions!$C$109</f>
        <v>94000</v>
      </c>
      <c r="M11" s="14" t="n">
        <f aca="false">Assumptions!$C$109</f>
        <v>94000</v>
      </c>
      <c r="N11" s="14" t="n">
        <f aca="false">Assumptions!$C$109</f>
        <v>94000</v>
      </c>
      <c r="O11" s="14" t="n">
        <f aca="false">Assumptions!$C$109</f>
        <v>94000</v>
      </c>
      <c r="P11" s="14" t="n">
        <f aca="false">Assumptions!$C$109</f>
        <v>94000</v>
      </c>
      <c r="Q11" s="14" t="n">
        <f aca="false">Assumptions!$C$109</f>
        <v>94000</v>
      </c>
      <c r="R11" s="14" t="n">
        <f aca="false">Assumptions!$C$109</f>
        <v>94000</v>
      </c>
      <c r="S11" s="14" t="n">
        <f aca="false">Assumptions!$C$109</f>
        <v>94000</v>
      </c>
      <c r="T11" s="14" t="n">
        <f aca="false">Assumptions!$C$109</f>
        <v>94000</v>
      </c>
      <c r="U11" s="14" t="n">
        <f aca="false">Assumptions!$C$109</f>
        <v>94000</v>
      </c>
      <c r="V11" s="14" t="n">
        <f aca="false">Assumptions!$C$109</f>
        <v>94000</v>
      </c>
      <c r="W11" s="14" t="n">
        <f aca="false">Assumptions!$C$109</f>
        <v>94000</v>
      </c>
      <c r="X11" s="14" t="n">
        <f aca="false">Assumptions!$C$109</f>
        <v>94000</v>
      </c>
      <c r="Y11" s="14" t="n">
        <f aca="false">Assumptions!$C$109</f>
        <v>94000</v>
      </c>
      <c r="Z11" s="14" t="n">
        <f aca="false">Assumptions!$C$109</f>
        <v>94000</v>
      </c>
      <c r="AA11" s="14" t="n">
        <f aca="false">Assumptions!$C$109</f>
        <v>94000</v>
      </c>
      <c r="AB11" s="14" t="n">
        <f aca="false">Assumptions!$C$109</f>
        <v>94000</v>
      </c>
      <c r="AC11" s="14" t="n">
        <f aca="false">Assumptions!$C$109</f>
        <v>94000</v>
      </c>
      <c r="AD11" s="14" t="n">
        <f aca="false">Assumptions!$C$109</f>
        <v>94000</v>
      </c>
      <c r="AE11" s="14" t="n">
        <f aca="false">Assumptions!$C$109</f>
        <v>94000</v>
      </c>
      <c r="AF11" s="14" t="n">
        <f aca="false">Assumptions!$C$109</f>
        <v>94000</v>
      </c>
      <c r="AG11" s="14" t="n">
        <f aca="false">Assumptions!$C$109</f>
        <v>94000</v>
      </c>
      <c r="AH11" s="14" t="n">
        <f aca="false">Assumptions!$C$109</f>
        <v>94000</v>
      </c>
      <c r="AI11" s="14" t="n">
        <f aca="false">Assumptions!$C$109</f>
        <v>94000</v>
      </c>
      <c r="AJ11" s="14" t="n">
        <f aca="false">Assumptions!$C$109</f>
        <v>94000</v>
      </c>
      <c r="AK11" s="14" t="n">
        <f aca="false">Assumptions!$C$109</f>
        <v>94000</v>
      </c>
      <c r="AL11" s="14" t="n">
        <f aca="false">Assumptions!$C$109</f>
        <v>94000</v>
      </c>
      <c r="AM11" s="14" t="n">
        <f aca="false">Assumptions!$C$109</f>
        <v>94000</v>
      </c>
      <c r="AN11" s="14" t="n">
        <f aca="false">Assumptions!$C$109</f>
        <v>94000</v>
      </c>
      <c r="AO11" s="14" t="n">
        <f aca="false">Assumptions!$C$109</f>
        <v>94000</v>
      </c>
      <c r="AP11" s="14" t="n">
        <f aca="false">Assumptions!$C$109</f>
        <v>94000</v>
      </c>
      <c r="AQ11" s="14" t="n">
        <f aca="false">Assumptions!$C$109</f>
        <v>94000</v>
      </c>
      <c r="AR11" s="14" t="n">
        <f aca="false">Assumptions!$C$109</f>
        <v>94000</v>
      </c>
      <c r="AS11" s="14" t="n">
        <f aca="false">Assumptions!$C$109</f>
        <v>94000</v>
      </c>
      <c r="AT11" s="14" t="n">
        <f aca="false">Assumptions!$C$109</f>
        <v>94000</v>
      </c>
      <c r="AU11" s="14" t="n">
        <f aca="false">Assumptions!$C$109</f>
        <v>94000</v>
      </c>
      <c r="AV11" s="14" t="n">
        <f aca="false">Assumptions!$C$109</f>
        <v>94000</v>
      </c>
      <c r="AW11" s="14" t="n">
        <f aca="false">Assumptions!$C$109</f>
        <v>94000</v>
      </c>
      <c r="AX11" s="14" t="n">
        <f aca="false">Assumptions!$C$109</f>
        <v>94000</v>
      </c>
      <c r="AY11" s="14" t="n">
        <f aca="false">Assumptions!$C$109</f>
        <v>94000</v>
      </c>
      <c r="AZ11" s="14" t="n">
        <f aca="false">Assumptions!$C$109</f>
        <v>94000</v>
      </c>
      <c r="BA11" s="14" t="n">
        <f aca="false">Assumptions!$C$109</f>
        <v>94000</v>
      </c>
      <c r="BB11" s="14" t="n">
        <f aca="false">Assumptions!$C$109</f>
        <v>94000</v>
      </c>
      <c r="BC11" s="14" t="n">
        <f aca="false">Assumptions!$C$109</f>
        <v>94000</v>
      </c>
      <c r="BD11" s="14" t="n">
        <f aca="false">Assumptions!$C$109</f>
        <v>94000</v>
      </c>
      <c r="BE11" s="14" t="n">
        <f aca="false">Assumptions!$C$109</f>
        <v>94000</v>
      </c>
      <c r="BF11" s="14" t="n">
        <f aca="false">Assumptions!$C$109</f>
        <v>94000</v>
      </c>
      <c r="BG11" s="14" t="n">
        <f aca="false">Assumptions!$C$109</f>
        <v>94000</v>
      </c>
      <c r="BH11" s="14" t="n">
        <f aca="false">Assumptions!$C$109</f>
        <v>94000</v>
      </c>
      <c r="BI11" s="14" t="n">
        <f aca="false">Assumptions!$C$109</f>
        <v>94000</v>
      </c>
      <c r="BJ11" s="14" t="n">
        <f aca="false">Assumptions!$C$109</f>
        <v>94000</v>
      </c>
      <c r="BK11" s="43" t="n">
        <f aca="false">INDEX($C11:$BJ11,BK$5*12)</f>
        <v>94000</v>
      </c>
      <c r="BL11" s="43" t="n">
        <f aca="false">INDEX($C11:$BJ11,BL$5*12)</f>
        <v>94000</v>
      </c>
      <c r="BM11" s="43" t="n">
        <f aca="false">INDEX($C11:$BJ11,BM$5*12)</f>
        <v>94000</v>
      </c>
      <c r="BN11" s="43" t="n">
        <f aca="false">INDEX($C11:$BJ11,BN$5*12)</f>
        <v>94000</v>
      </c>
      <c r="BO11" s="43" t="n">
        <f aca="false">INDEX($C11:$BJ11,BO$5*12)</f>
        <v>94000</v>
      </c>
    </row>
    <row r="12" customFormat="false" ht="15" hidden="false" customHeight="false" outlineLevel="0" collapsed="false">
      <c r="A12" s="18" t="s">
        <v>386</v>
      </c>
      <c r="B12" s="2"/>
      <c r="C12" s="14" t="n">
        <f aca="false">-SUM(OpEx!$C$38:C$38)</f>
        <v>-1327.38095238095</v>
      </c>
      <c r="D12" s="14" t="n">
        <f aca="false">-SUM(OpEx!$C$38:D$38)</f>
        <v>-2654.76190476191</v>
      </c>
      <c r="E12" s="14" t="n">
        <f aca="false">-SUM(OpEx!$C$38:E$38)</f>
        <v>-3982.14285714286</v>
      </c>
      <c r="F12" s="14" t="n">
        <f aca="false">-SUM(OpEx!$C$38:F$38)</f>
        <v>-5309.52380952381</v>
      </c>
      <c r="G12" s="14" t="n">
        <f aca="false">-SUM(OpEx!$C$38:G$38)</f>
        <v>-6636.90476190476</v>
      </c>
      <c r="H12" s="14" t="n">
        <f aca="false">-SUM(OpEx!$C$38:H$38)</f>
        <v>-7964.28571428572</v>
      </c>
      <c r="I12" s="14" t="n">
        <f aca="false">-SUM(OpEx!$C$38:I$38)</f>
        <v>-9291.66666666667</v>
      </c>
      <c r="J12" s="14" t="n">
        <f aca="false">-SUM(OpEx!$C$38:J$38)</f>
        <v>-10619.0476190476</v>
      </c>
      <c r="K12" s="14" t="n">
        <f aca="false">-SUM(OpEx!$C$38:K$38)</f>
        <v>-11946.4285714286</v>
      </c>
      <c r="L12" s="14" t="n">
        <f aca="false">-SUM(OpEx!$C$38:L$38)</f>
        <v>-13273.8095238095</v>
      </c>
      <c r="M12" s="14" t="n">
        <f aca="false">-SUM(OpEx!$C$38:M$38)</f>
        <v>-14601.1904761905</v>
      </c>
      <c r="N12" s="14" t="n">
        <f aca="false">-SUM(OpEx!$C$38:N$38)</f>
        <v>-15928.5714285714</v>
      </c>
      <c r="O12" s="14" t="n">
        <f aca="false">-SUM(OpEx!$C$38:O$38)</f>
        <v>-17255.9523809524</v>
      </c>
      <c r="P12" s="14" t="n">
        <f aca="false">-SUM(OpEx!$C$38:P$38)</f>
        <v>-18583.3333333333</v>
      </c>
      <c r="Q12" s="14" t="n">
        <f aca="false">-SUM(OpEx!$C$38:Q$38)</f>
        <v>-19910.7142857143</v>
      </c>
      <c r="R12" s="14" t="n">
        <f aca="false">-SUM(OpEx!$C$38:R$38)</f>
        <v>-21238.0952380952</v>
      </c>
      <c r="S12" s="14" t="n">
        <f aca="false">-SUM(OpEx!$C$38:S$38)</f>
        <v>-22565.4761904762</v>
      </c>
      <c r="T12" s="14" t="n">
        <f aca="false">-SUM(OpEx!$C$38:T$38)</f>
        <v>-23892.8571428572</v>
      </c>
      <c r="U12" s="14" t="n">
        <f aca="false">-SUM(OpEx!$C$38:U$38)</f>
        <v>-25220.2380952381</v>
      </c>
      <c r="V12" s="14" t="n">
        <f aca="false">-SUM(OpEx!$C$38:V$38)</f>
        <v>-26547.6190476191</v>
      </c>
      <c r="W12" s="14" t="n">
        <f aca="false">-SUM(OpEx!$C$38:W$38)</f>
        <v>-27875</v>
      </c>
      <c r="X12" s="14" t="n">
        <f aca="false">-SUM(OpEx!$C$38:X$38)</f>
        <v>-29202.380952381</v>
      </c>
      <c r="Y12" s="14" t="n">
        <f aca="false">-SUM(OpEx!$C$38:Y$38)</f>
        <v>-30529.7619047619</v>
      </c>
      <c r="Z12" s="14" t="n">
        <f aca="false">-SUM(OpEx!$C$38:Z$38)</f>
        <v>-31857.1428571429</v>
      </c>
      <c r="AA12" s="14" t="n">
        <f aca="false">-SUM(OpEx!$C$38:AA$38)</f>
        <v>-33184.5238095238</v>
      </c>
      <c r="AB12" s="14" t="n">
        <f aca="false">-SUM(OpEx!$C$38:AB$38)</f>
        <v>-34511.9047619048</v>
      </c>
      <c r="AC12" s="14" t="n">
        <f aca="false">-SUM(OpEx!$C$38:AC$38)</f>
        <v>-35839.2857142857</v>
      </c>
      <c r="AD12" s="14" t="n">
        <f aca="false">-SUM(OpEx!$C$38:AD$38)</f>
        <v>-37166.6666666667</v>
      </c>
      <c r="AE12" s="14" t="n">
        <f aca="false">-SUM(OpEx!$C$38:AE$38)</f>
        <v>-38494.0476190476</v>
      </c>
      <c r="AF12" s="14" t="n">
        <f aca="false">-SUM(OpEx!$C$38:AF$38)</f>
        <v>-39821.4285714286</v>
      </c>
      <c r="AG12" s="14" t="n">
        <f aca="false">-SUM(OpEx!$C$38:AG$38)</f>
        <v>-41148.8095238095</v>
      </c>
      <c r="AH12" s="14" t="n">
        <f aca="false">-SUM(OpEx!$C$38:AH$38)</f>
        <v>-42476.1904761905</v>
      </c>
      <c r="AI12" s="14" t="n">
        <f aca="false">-SUM(OpEx!$C$38:AI$38)</f>
        <v>-43803.5714285714</v>
      </c>
      <c r="AJ12" s="14" t="n">
        <f aca="false">-SUM(OpEx!$C$38:AJ$38)</f>
        <v>-45130.9523809524</v>
      </c>
      <c r="AK12" s="14" t="n">
        <f aca="false">-SUM(OpEx!$C$38:AK$38)</f>
        <v>-46458.3333333333</v>
      </c>
      <c r="AL12" s="14" t="n">
        <f aca="false">-SUM(OpEx!$C$38:AL$38)</f>
        <v>-47785.7142857143</v>
      </c>
      <c r="AM12" s="14" t="n">
        <f aca="false">-SUM(OpEx!$C$38:AM$38)</f>
        <v>-48946.4285714286</v>
      </c>
      <c r="AN12" s="14" t="n">
        <f aca="false">-SUM(OpEx!$C$38:AN$38)</f>
        <v>-50107.1428571429</v>
      </c>
      <c r="AO12" s="14" t="n">
        <f aca="false">-SUM(OpEx!$C$38:AO$38)</f>
        <v>-51267.8571428571</v>
      </c>
      <c r="AP12" s="14" t="n">
        <f aca="false">-SUM(OpEx!$C$38:AP$38)</f>
        <v>-52428.5714285714</v>
      </c>
      <c r="AQ12" s="14" t="n">
        <f aca="false">-SUM(OpEx!$C$38:AQ$38)</f>
        <v>-53589.2857142857</v>
      </c>
      <c r="AR12" s="14" t="n">
        <f aca="false">-SUM(OpEx!$C$38:AR$38)</f>
        <v>-54750</v>
      </c>
      <c r="AS12" s="14" t="n">
        <f aca="false">-SUM(OpEx!$C$38:AS$38)</f>
        <v>-55910.7142857143</v>
      </c>
      <c r="AT12" s="14" t="n">
        <f aca="false">-SUM(OpEx!$C$38:AT$38)</f>
        <v>-57071.4285714286</v>
      </c>
      <c r="AU12" s="14" t="n">
        <f aca="false">-SUM(OpEx!$C$38:AU$38)</f>
        <v>-58232.1428571429</v>
      </c>
      <c r="AV12" s="14" t="n">
        <f aca="false">-SUM(OpEx!$C$38:AV$38)</f>
        <v>-59392.8571428571</v>
      </c>
      <c r="AW12" s="14" t="n">
        <f aca="false">-SUM(OpEx!$C$38:AW$38)</f>
        <v>-60553.5714285714</v>
      </c>
      <c r="AX12" s="14" t="n">
        <f aca="false">-SUM(OpEx!$C$38:AX$38)</f>
        <v>-61714.2857142857</v>
      </c>
      <c r="AY12" s="14" t="n">
        <f aca="false">-SUM(OpEx!$C$38:AY$38)</f>
        <v>-62875</v>
      </c>
      <c r="AZ12" s="14" t="n">
        <f aca="false">-SUM(OpEx!$C$38:AZ$38)</f>
        <v>-64035.7142857143</v>
      </c>
      <c r="BA12" s="14" t="n">
        <f aca="false">-SUM(OpEx!$C$38:BA$38)</f>
        <v>-65196.4285714286</v>
      </c>
      <c r="BB12" s="14" t="n">
        <f aca="false">-SUM(OpEx!$C$38:BB$38)</f>
        <v>-66357.1428571429</v>
      </c>
      <c r="BC12" s="14" t="n">
        <f aca="false">-SUM(OpEx!$C$38:BC$38)</f>
        <v>-67517.8571428572</v>
      </c>
      <c r="BD12" s="14" t="n">
        <f aca="false">-SUM(OpEx!$C$38:BD$38)</f>
        <v>-68678.5714285714</v>
      </c>
      <c r="BE12" s="14" t="n">
        <f aca="false">-SUM(OpEx!$C$38:BE$38)</f>
        <v>-69839.2857142857</v>
      </c>
      <c r="BF12" s="14" t="n">
        <f aca="false">-SUM(OpEx!$C$38:BF$38)</f>
        <v>-71000</v>
      </c>
      <c r="BG12" s="14" t="n">
        <f aca="false">-SUM(OpEx!$C$38:BG$38)</f>
        <v>-72160.7142857143</v>
      </c>
      <c r="BH12" s="14" t="n">
        <f aca="false">-SUM(OpEx!$C$38:BH$38)</f>
        <v>-73321.4285714286</v>
      </c>
      <c r="BI12" s="14" t="n">
        <f aca="false">-SUM(OpEx!$C$38:BI$38)</f>
        <v>-74482.1428571429</v>
      </c>
      <c r="BJ12" s="14" t="n">
        <f aca="false">-SUM(OpEx!$C$38:BJ$38)</f>
        <v>-75642.8571428572</v>
      </c>
      <c r="BK12" s="43" t="n">
        <f aca="false">INDEX($C12:$BJ12,BK$5*12)</f>
        <v>-15928.5714285714</v>
      </c>
      <c r="BL12" s="43" t="n">
        <f aca="false">INDEX($C12:$BJ12,BL$5*12)</f>
        <v>-31857.1428571429</v>
      </c>
      <c r="BM12" s="43" t="n">
        <f aca="false">INDEX($C12:$BJ12,BM$5*12)</f>
        <v>-47785.7142857143</v>
      </c>
      <c r="BN12" s="43" t="n">
        <f aca="false">INDEX($C12:$BJ12,BN$5*12)</f>
        <v>-61714.2857142857</v>
      </c>
      <c r="BO12" s="43" t="n">
        <f aca="false">INDEX($C12:$BJ12,BO$5*12)</f>
        <v>-75642.8571428572</v>
      </c>
    </row>
    <row r="13" customFormat="false" ht="15" hidden="false" customHeight="false" outlineLevel="0" collapsed="false">
      <c r="A13" s="18" t="s">
        <v>387</v>
      </c>
      <c r="B13" s="2"/>
      <c r="C13" s="14" t="n">
        <f aca="false">C11+C12</f>
        <v>92672.6190476191</v>
      </c>
      <c r="D13" s="14" t="n">
        <f aca="false">D11+D12</f>
        <v>91345.2380952381</v>
      </c>
      <c r="E13" s="14" t="n">
        <f aca="false">E11+E12</f>
        <v>90017.8571428571</v>
      </c>
      <c r="F13" s="14" t="n">
        <f aca="false">F11+F12</f>
        <v>88690.4761904762</v>
      </c>
      <c r="G13" s="14" t="n">
        <f aca="false">G11+G12</f>
        <v>87363.0952380952</v>
      </c>
      <c r="H13" s="14" t="n">
        <f aca="false">H11+H12</f>
        <v>86035.7142857143</v>
      </c>
      <c r="I13" s="14" t="n">
        <f aca="false">I11+I12</f>
        <v>84708.3333333333</v>
      </c>
      <c r="J13" s="14" t="n">
        <f aca="false">J11+J12</f>
        <v>83380.9523809524</v>
      </c>
      <c r="K13" s="14" t="n">
        <f aca="false">K11+K12</f>
        <v>82053.5714285714</v>
      </c>
      <c r="L13" s="14" t="n">
        <f aca="false">L11+L12</f>
        <v>80726.1904761905</v>
      </c>
      <c r="M13" s="14" t="n">
        <f aca="false">M11+M12</f>
        <v>79398.8095238095</v>
      </c>
      <c r="N13" s="14" t="n">
        <f aca="false">N11+N12</f>
        <v>78071.4285714286</v>
      </c>
      <c r="O13" s="14" t="n">
        <f aca="false">O11+O12</f>
        <v>76744.0476190476</v>
      </c>
      <c r="P13" s="14" t="n">
        <f aca="false">P11+P12</f>
        <v>75416.6666666667</v>
      </c>
      <c r="Q13" s="14" t="n">
        <f aca="false">Q11+Q12</f>
        <v>74089.2857142857</v>
      </c>
      <c r="R13" s="14" t="n">
        <f aca="false">R11+R12</f>
        <v>72761.9047619048</v>
      </c>
      <c r="S13" s="14" t="n">
        <f aca="false">S11+S12</f>
        <v>71434.5238095238</v>
      </c>
      <c r="T13" s="14" t="n">
        <f aca="false">T11+T12</f>
        <v>70107.1428571429</v>
      </c>
      <c r="U13" s="14" t="n">
        <f aca="false">U11+U12</f>
        <v>68779.7619047619</v>
      </c>
      <c r="V13" s="14" t="n">
        <f aca="false">V11+V12</f>
        <v>67452.380952381</v>
      </c>
      <c r="W13" s="14" t="n">
        <f aca="false">W11+W12</f>
        <v>66125</v>
      </c>
      <c r="X13" s="14" t="n">
        <f aca="false">X11+X12</f>
        <v>64797.619047619</v>
      </c>
      <c r="Y13" s="14" t="n">
        <f aca="false">Y11+Y12</f>
        <v>63470.2380952381</v>
      </c>
      <c r="Z13" s="14" t="n">
        <f aca="false">Z11+Z12</f>
        <v>62142.8571428571</v>
      </c>
      <c r="AA13" s="14" t="n">
        <f aca="false">AA11+AA12</f>
        <v>60815.4761904762</v>
      </c>
      <c r="AB13" s="14" t="n">
        <f aca="false">AB11+AB12</f>
        <v>59488.0952380952</v>
      </c>
      <c r="AC13" s="14" t="n">
        <f aca="false">AC11+AC12</f>
        <v>58160.7142857143</v>
      </c>
      <c r="AD13" s="14" t="n">
        <f aca="false">AD11+AD12</f>
        <v>56833.3333333333</v>
      </c>
      <c r="AE13" s="14" t="n">
        <f aca="false">AE11+AE12</f>
        <v>55505.9523809524</v>
      </c>
      <c r="AF13" s="14" t="n">
        <f aca="false">AF11+AF12</f>
        <v>54178.5714285714</v>
      </c>
      <c r="AG13" s="14" t="n">
        <f aca="false">AG11+AG12</f>
        <v>52851.1904761905</v>
      </c>
      <c r="AH13" s="14" t="n">
        <f aca="false">AH11+AH12</f>
        <v>51523.8095238095</v>
      </c>
      <c r="AI13" s="14" t="n">
        <f aca="false">AI11+AI12</f>
        <v>50196.4285714286</v>
      </c>
      <c r="AJ13" s="14" t="n">
        <f aca="false">AJ11+AJ12</f>
        <v>48869.0476190476</v>
      </c>
      <c r="AK13" s="14" t="n">
        <f aca="false">AK11+AK12</f>
        <v>47541.6666666667</v>
      </c>
      <c r="AL13" s="14" t="n">
        <f aca="false">AL11+AL12</f>
        <v>46214.2857142857</v>
      </c>
      <c r="AM13" s="14" t="n">
        <f aca="false">AM11+AM12</f>
        <v>45053.5714285714</v>
      </c>
      <c r="AN13" s="14" t="n">
        <f aca="false">AN11+AN12</f>
        <v>43892.8571428571</v>
      </c>
      <c r="AO13" s="14" t="n">
        <f aca="false">AO11+AO12</f>
        <v>42732.1428571429</v>
      </c>
      <c r="AP13" s="14" t="n">
        <f aca="false">AP11+AP12</f>
        <v>41571.4285714286</v>
      </c>
      <c r="AQ13" s="14" t="n">
        <f aca="false">AQ11+AQ12</f>
        <v>40410.7142857143</v>
      </c>
      <c r="AR13" s="14" t="n">
        <f aca="false">AR11+AR12</f>
        <v>39250</v>
      </c>
      <c r="AS13" s="14" t="n">
        <f aca="false">AS11+AS12</f>
        <v>38089.2857142857</v>
      </c>
      <c r="AT13" s="14" t="n">
        <f aca="false">AT11+AT12</f>
        <v>36928.5714285714</v>
      </c>
      <c r="AU13" s="14" t="n">
        <f aca="false">AU11+AU12</f>
        <v>35767.8571428571</v>
      </c>
      <c r="AV13" s="14" t="n">
        <f aca="false">AV11+AV12</f>
        <v>34607.1428571429</v>
      </c>
      <c r="AW13" s="14" t="n">
        <f aca="false">AW11+AW12</f>
        <v>33446.4285714286</v>
      </c>
      <c r="AX13" s="14" t="n">
        <f aca="false">AX11+AX12</f>
        <v>32285.7142857143</v>
      </c>
      <c r="AY13" s="14" t="n">
        <f aca="false">AY11+AY12</f>
        <v>31125</v>
      </c>
      <c r="AZ13" s="14" t="n">
        <f aca="false">AZ11+AZ12</f>
        <v>29964.2857142857</v>
      </c>
      <c r="BA13" s="14" t="n">
        <f aca="false">BA11+BA12</f>
        <v>28803.5714285714</v>
      </c>
      <c r="BB13" s="14" t="n">
        <f aca="false">BB11+BB12</f>
        <v>27642.8571428571</v>
      </c>
      <c r="BC13" s="14" t="n">
        <f aca="false">BC11+BC12</f>
        <v>26482.1428571428</v>
      </c>
      <c r="BD13" s="14" t="n">
        <f aca="false">BD11+BD12</f>
        <v>25321.4285714286</v>
      </c>
      <c r="BE13" s="14" t="n">
        <f aca="false">BE11+BE12</f>
        <v>24160.7142857143</v>
      </c>
      <c r="BF13" s="14" t="n">
        <f aca="false">BF11+BF12</f>
        <v>23000</v>
      </c>
      <c r="BG13" s="14" t="n">
        <f aca="false">BG11+BG12</f>
        <v>21839.2857142857</v>
      </c>
      <c r="BH13" s="14" t="n">
        <f aca="false">BH11+BH12</f>
        <v>20678.5714285714</v>
      </c>
      <c r="BI13" s="14" t="n">
        <f aca="false">BI11+BI12</f>
        <v>19517.8571428571</v>
      </c>
      <c r="BJ13" s="14" t="n">
        <f aca="false">BJ11+BJ12</f>
        <v>18357.1428571428</v>
      </c>
      <c r="BK13" s="43" t="n">
        <f aca="false">INDEX($C13:$BJ13,BK$5*12)</f>
        <v>78071.4285714286</v>
      </c>
      <c r="BL13" s="43" t="n">
        <f aca="false">INDEX($C13:$BJ13,BL$5*12)</f>
        <v>62142.8571428571</v>
      </c>
      <c r="BM13" s="43" t="n">
        <f aca="false">INDEX($C13:$BJ13,BM$5*12)</f>
        <v>46214.2857142857</v>
      </c>
      <c r="BN13" s="43" t="n">
        <f aca="false">INDEX($C13:$BJ13,BN$5*12)</f>
        <v>32285.7142857143</v>
      </c>
      <c r="BO13" s="43" t="n">
        <f aca="false">INDEX($C13:$BJ13,BO$5*12)</f>
        <v>18357.1428571428</v>
      </c>
    </row>
    <row r="14" customFormat="false" ht="15" hidden="false" customHeight="false" outlineLevel="0" collapsed="false">
      <c r="A14" s="39" t="s">
        <v>388</v>
      </c>
      <c r="B14" s="40"/>
      <c r="C14" s="41" t="n">
        <f aca="false">C8+C9+C10+C13</f>
        <v>139872.320439015</v>
      </c>
      <c r="D14" s="41" t="n">
        <f aca="false">D8+D9+D10+D13</f>
        <v>132984.29087803</v>
      </c>
      <c r="E14" s="41" t="n">
        <f aca="false">E8+E9+E10+E13</f>
        <v>130077.861317044</v>
      </c>
      <c r="F14" s="41" t="n">
        <f aca="false">F8+F9+F10+F13</f>
        <v>130655.331756059</v>
      </c>
      <c r="G14" s="41" t="n">
        <f aca="false">G8+G9+G10+G13</f>
        <v>134965.552195074</v>
      </c>
      <c r="H14" s="41" t="n">
        <f aca="false">H8+H9+H10+H13</f>
        <v>142013.122634089</v>
      </c>
      <c r="I14" s="41" t="n">
        <f aca="false">I8+I9+I10+I13</f>
        <v>144539.693073104</v>
      </c>
      <c r="J14" s="41" t="n">
        <f aca="false">J8+J9+J10+J13</f>
        <v>145822.013512118</v>
      </c>
      <c r="K14" s="41" t="n">
        <f aca="false">K8+K9+K10+K13</f>
        <v>147104.333951133</v>
      </c>
      <c r="L14" s="41" t="n">
        <f aca="false">L8+L9+L10+L13</f>
        <v>148386.654390148</v>
      </c>
      <c r="M14" s="41" t="n">
        <f aca="false">M8+M9+M10+M13</f>
        <v>148424.724829163</v>
      </c>
      <c r="N14" s="41" t="n">
        <f aca="false">N8+N9+N10+N13</f>
        <v>148462.795268178</v>
      </c>
      <c r="O14" s="41" t="n">
        <f aca="false">O8+O9+O10+O13</f>
        <v>148786.722207193</v>
      </c>
      <c r="P14" s="41" t="n">
        <f aca="false">P8+P9+P10+P13</f>
        <v>149110.649146207</v>
      </c>
      <c r="Q14" s="41" t="n">
        <f aca="false">Q8+Q9+Q10+Q13</f>
        <v>152161.439585222</v>
      </c>
      <c r="R14" s="41" t="n">
        <f aca="false">R8+R9+R10+R13</f>
        <v>156575.661774237</v>
      </c>
      <c r="S14" s="41" t="n">
        <f aca="false">S8+S9+S10+S13</f>
        <v>162353.315713252</v>
      </c>
      <c r="T14" s="41" t="n">
        <f aca="false">T8+T9+T10+T13</f>
        <v>168130.969652267</v>
      </c>
      <c r="U14" s="41" t="n">
        <f aca="false">U8+U9+U10+U13</f>
        <v>172545.191841281</v>
      </c>
      <c r="V14" s="41" t="n">
        <f aca="false">V8+V9+V10+V13</f>
        <v>175595.982280296</v>
      </c>
      <c r="W14" s="41" t="n">
        <f aca="false">W8+W9+W10+W13</f>
        <v>178646.772719311</v>
      </c>
      <c r="X14" s="41" t="n">
        <f aca="false">X8+X9+X10+X13</f>
        <v>181697.563158326</v>
      </c>
      <c r="Y14" s="41" t="n">
        <f aca="false">Y8+Y9+Y10+Y13</f>
        <v>183384.921847341</v>
      </c>
      <c r="Z14" s="41" t="n">
        <f aca="false">Z8+Z9+Z10+Z13</f>
        <v>185072.280536355</v>
      </c>
      <c r="AA14" s="41" t="n">
        <f aca="false">AA8+AA9+AA10+AA13</f>
        <v>183032.26088827</v>
      </c>
      <c r="AB14" s="41" t="n">
        <f aca="false">AB8+AB9+AB10+AB13</f>
        <v>180992.241240185</v>
      </c>
      <c r="AC14" s="41" t="n">
        <f aca="false">AC8+AC9+AC10+AC13</f>
        <v>181941.2454102</v>
      </c>
      <c r="AD14" s="41" t="n">
        <f aca="false">AD8+AD9+AD10+AD13</f>
        <v>184384.761489265</v>
      </c>
      <c r="AE14" s="41" t="n">
        <f aca="false">AE8+AE9+AE10+AE13</f>
        <v>188322.789477379</v>
      </c>
      <c r="AF14" s="41" t="n">
        <f aca="false">AF8+AF9+AF10+AF13</f>
        <v>192260.817465494</v>
      </c>
      <c r="AG14" s="41" t="n">
        <f aca="false">AG8+AG9+AG10+AG13</f>
        <v>194704.333544559</v>
      </c>
      <c r="AH14" s="41" t="n">
        <f aca="false">AH8+AH9+AH10+AH13</f>
        <v>195653.337714574</v>
      </c>
      <c r="AI14" s="41" t="n">
        <f aca="false">AI8+AI9+AI10+AI13</f>
        <v>196602.341884589</v>
      </c>
      <c r="AJ14" s="41" t="n">
        <f aca="false">AJ8+AJ9+AJ10+AJ13</f>
        <v>197551.346054604</v>
      </c>
      <c r="AK14" s="41" t="n">
        <f aca="false">AK8+AK9+AK10+AK13</f>
        <v>197005.838315568</v>
      </c>
      <c r="AL14" s="41" t="n">
        <f aca="false">AL8+AL9+AL10+AL13</f>
        <v>196460.330576533</v>
      </c>
      <c r="AM14" s="41" t="n">
        <f aca="false">AM8+AM9+AM10+AM13</f>
        <v>196407.604145075</v>
      </c>
      <c r="AN14" s="41" t="n">
        <f aca="false">AN8+AN9+AN10+AN13</f>
        <v>196354.877713617</v>
      </c>
      <c r="AO14" s="41" t="n">
        <f aca="false">AO8+AO9+AO10+AO13</f>
        <v>199579.613787311</v>
      </c>
      <c r="AP14" s="41" t="n">
        <f aca="false">AP8+AP9+AP10+AP13</f>
        <v>204443.08111358</v>
      </c>
      <c r="AQ14" s="41" t="n">
        <f aca="false">AQ8+AQ9+AQ10+AQ13</f>
        <v>210945.279692424</v>
      </c>
      <c r="AR14" s="41" t="n">
        <f aca="false">AR8+AR9+AR10+AR13</f>
        <v>217447.478271268</v>
      </c>
      <c r="AS14" s="41" t="n">
        <f aca="false">AS8+AS9+AS10+AS13</f>
        <v>222310.945597537</v>
      </c>
      <c r="AT14" s="41" t="n">
        <f aca="false">AT8+AT9+AT10+AT13</f>
        <v>225535.681671231</v>
      </c>
      <c r="AU14" s="41" t="n">
        <f aca="false">AU8+AU9+AU10+AU13</f>
        <v>228760.417744924</v>
      </c>
      <c r="AV14" s="41" t="n">
        <f aca="false">AV8+AV9+AV10+AV13</f>
        <v>231985.153818617</v>
      </c>
      <c r="AW14" s="41" t="n">
        <f aca="false">AW8+AW9+AW10+AW13</f>
        <v>233571.158639735</v>
      </c>
      <c r="AX14" s="41" t="n">
        <f aca="false">AX8+AX9+AX10+AX13</f>
        <v>235157.163460853</v>
      </c>
      <c r="AY14" s="41" t="n">
        <f aca="false">AY8+AY9+AY10+AY13</f>
        <v>237163.076009048</v>
      </c>
      <c r="AZ14" s="41" t="n">
        <f aca="false">AZ8+AZ9+AZ10+AZ13</f>
        <v>239168.988557243</v>
      </c>
      <c r="BA14" s="41" t="n">
        <f aca="false">BA8+BA9+BA10+BA13</f>
        <v>244769.832528607</v>
      </c>
      <c r="BB14" s="41" t="n">
        <f aca="false">BB8+BB9+BB10+BB13</f>
        <v>252168.142211556</v>
      </c>
      <c r="BC14" s="41" t="n">
        <f aca="false">BC8+BC9+BC10+BC13</f>
        <v>261363.917606088</v>
      </c>
      <c r="BD14" s="41" t="n">
        <f aca="false">BD8+BD9+BD10+BD13</f>
        <v>270559.693000621</v>
      </c>
      <c r="BE14" s="41" t="n">
        <f aca="false">BE8+BE9+BE10+BE13</f>
        <v>277958.00268357</v>
      </c>
      <c r="BF14" s="41" t="n">
        <f aca="false">BF8+BF9+BF10+BF13</f>
        <v>283558.846654934</v>
      </c>
      <c r="BG14" s="41" t="n">
        <f aca="false">BG8+BG9+BG10+BG13</f>
        <v>289159.690626298</v>
      </c>
      <c r="BH14" s="41" t="n">
        <f aca="false">BH8+BH9+BH10+BH13</f>
        <v>294760.534597662</v>
      </c>
      <c r="BI14" s="41" t="n">
        <f aca="false">BI8+BI9+BI10+BI13</f>
        <v>298563.912857442</v>
      </c>
      <c r="BJ14" s="41" t="n">
        <f aca="false">BJ8+BJ9+BJ10+BJ13</f>
        <v>302367.291117221</v>
      </c>
      <c r="BK14" s="42" t="n">
        <f aca="false">INDEX($C14:$BJ14,BK$5*12)</f>
        <v>148462.795268178</v>
      </c>
      <c r="BL14" s="42" t="n">
        <f aca="false">INDEX($C14:$BJ14,BL$5*12)</f>
        <v>185072.280536355</v>
      </c>
      <c r="BM14" s="42" t="n">
        <f aca="false">INDEX($C14:$BJ14,BM$5*12)</f>
        <v>196460.330576533</v>
      </c>
      <c r="BN14" s="42" t="n">
        <f aca="false">INDEX($C14:$BJ14,BN$5*12)</f>
        <v>235157.163460853</v>
      </c>
      <c r="BO14" s="42" t="n">
        <f aca="false">INDEX($C14:$BJ14,BO$5*12)</f>
        <v>302367.291117221</v>
      </c>
    </row>
    <row r="16" customFormat="false" ht="15" hidden="false" customHeight="false" outlineLevel="0" collapsed="false">
      <c r="A16" s="33" t="s">
        <v>389</v>
      </c>
      <c r="B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row>
    <row r="17" customFormat="false" ht="15" hidden="false" customHeight="false" outlineLevel="0" collapsed="false">
      <c r="A17" s="18" t="s">
        <v>390</v>
      </c>
      <c r="B17" s="2"/>
      <c r="C17" s="44" t="n">
        <f aca="false">'Cash Flow'!C18</f>
        <v>109055.201391396</v>
      </c>
      <c r="D17" s="44" t="n">
        <f aca="false">'Cash Flow'!D18</f>
        <v>108103.316793227</v>
      </c>
      <c r="E17" s="44" t="n">
        <f aca="false">'Cash Flow'!E18</f>
        <v>107144.293060572</v>
      </c>
      <c r="F17" s="44" t="n">
        <f aca="false">'Cash Flow'!F18</f>
        <v>106178.076649922</v>
      </c>
      <c r="G17" s="44" t="n">
        <f aca="false">'Cash Flow'!G18</f>
        <v>105204.613616192</v>
      </c>
      <c r="H17" s="44" t="n">
        <f aca="false">'Cash Flow'!H18</f>
        <v>104223.849609709</v>
      </c>
      <c r="I17" s="44" t="n">
        <f aca="false">'Cash Flow'!I18</f>
        <v>103235.729873178</v>
      </c>
      <c r="J17" s="44" t="n">
        <f aca="false">'Cash Flow'!J18</f>
        <v>102240.199238623</v>
      </c>
      <c r="K17" s="44" t="n">
        <f aca="false">'Cash Flow'!K18</f>
        <v>101237.202124308</v>
      </c>
      <c r="L17" s="44" t="n">
        <f aca="false">'Cash Flow'!L18</f>
        <v>100226.682531636</v>
      </c>
      <c r="M17" s="44" t="n">
        <f aca="false">'Cash Flow'!M18</f>
        <v>99208.5840420191</v>
      </c>
      <c r="N17" s="44" t="n">
        <f aca="false">'Cash Flow'!N18</f>
        <v>98182.84981373</v>
      </c>
      <c r="O17" s="44" t="n">
        <f aca="false">'Cash Flow'!O18</f>
        <v>97149.4225787287</v>
      </c>
      <c r="P17" s="44" t="n">
        <f aca="false">'Cash Flow'!P18</f>
        <v>96108.2446394649</v>
      </c>
      <c r="Q17" s="44" t="n">
        <f aca="false">'Cash Flow'!Q18</f>
        <v>95059.2578656567</v>
      </c>
      <c r="R17" s="44" t="n">
        <f aca="false">'Cash Flow'!R18</f>
        <v>94002.4036910449</v>
      </c>
      <c r="S17" s="44" t="n">
        <f aca="false">'Cash Flow'!S18</f>
        <v>92937.6231101235</v>
      </c>
      <c r="T17" s="44" t="n">
        <f aca="false">'Cash Flow'!T18</f>
        <v>91864.8566748451</v>
      </c>
      <c r="U17" s="44" t="n">
        <f aca="false">'Cash Flow'!U18</f>
        <v>90784.0444913022</v>
      </c>
      <c r="V17" s="44" t="n">
        <f aca="false">'Cash Flow'!V18</f>
        <v>89695.1262163828</v>
      </c>
      <c r="W17" s="44" t="n">
        <f aca="false">'Cash Flow'!W18</f>
        <v>88598.0410544014</v>
      </c>
      <c r="X17" s="44" t="n">
        <f aca="false">'Cash Flow'!X18</f>
        <v>87492.7277537052</v>
      </c>
      <c r="Y17" s="44" t="n">
        <f aca="false">'Cash Flow'!Y18</f>
        <v>86379.1246032537</v>
      </c>
      <c r="Z17" s="44" t="n">
        <f aca="false">'Cash Flow'!Z18</f>
        <v>85257.1694291739</v>
      </c>
      <c r="AA17" s="44" t="n">
        <f aca="false">'Cash Flow'!AA18</f>
        <v>84126.7995912884</v>
      </c>
      <c r="AB17" s="44" t="n">
        <f aca="false">'Cash Flow'!AB18</f>
        <v>82987.9519796189</v>
      </c>
      <c r="AC17" s="44" t="n">
        <f aca="false">'Cash Flow'!AC18</f>
        <v>81840.5630108618</v>
      </c>
      <c r="AD17" s="44" t="n">
        <f aca="false">'Cash Flow'!AD18</f>
        <v>80684.568624839</v>
      </c>
      <c r="AE17" s="44" t="n">
        <f aca="false">'Cash Flow'!AE18</f>
        <v>79519.904280921</v>
      </c>
      <c r="AF17" s="44" t="n">
        <f aca="false">'Cash Flow'!AF18</f>
        <v>78346.5049544237</v>
      </c>
      <c r="AG17" s="44" t="n">
        <f aca="false">'Cash Flow'!AG18</f>
        <v>77164.3051329776</v>
      </c>
      <c r="AH17" s="44" t="n">
        <f aca="false">'Cash Flow'!AH18</f>
        <v>75973.2388128707</v>
      </c>
      <c r="AI17" s="44" t="n">
        <f aca="false">'Cash Flow'!AI18</f>
        <v>74773.239495363</v>
      </c>
      <c r="AJ17" s="44" t="n">
        <f aca="false">'Cash Flow'!AJ18</f>
        <v>73564.240182974</v>
      </c>
      <c r="AK17" s="44" t="n">
        <f aca="false">'Cash Flow'!AK18</f>
        <v>72346.173375742</v>
      </c>
      <c r="AL17" s="44" t="n">
        <f aca="false">'Cash Flow'!AL18</f>
        <v>71118.9710674559</v>
      </c>
      <c r="AM17" s="44" t="n">
        <f aca="false">'Cash Flow'!AM18</f>
        <v>69882.5647418576</v>
      </c>
      <c r="AN17" s="44" t="n">
        <f aca="false">'Cash Flow'!AN18</f>
        <v>68636.8853688172</v>
      </c>
      <c r="AO17" s="44" t="n">
        <f aca="false">'Cash Flow'!AO18</f>
        <v>67381.8634004791</v>
      </c>
      <c r="AP17" s="44" t="n">
        <f aca="false">'Cash Flow'!AP18</f>
        <v>66117.4287673785</v>
      </c>
      <c r="AQ17" s="44" t="n">
        <f aca="false">'Cash Flow'!AQ18</f>
        <v>64843.5108745296</v>
      </c>
      <c r="AR17" s="44" t="n">
        <f aca="false">'Cash Flow'!AR18</f>
        <v>63560.0385974843</v>
      </c>
      <c r="AS17" s="44" t="n">
        <f aca="false">'Cash Flow'!AS18</f>
        <v>62266.9402783612</v>
      </c>
      <c r="AT17" s="44" t="n">
        <f aca="false">'Cash Flow'!AT18</f>
        <v>60964.1437218447</v>
      </c>
      <c r="AU17" s="44" t="n">
        <f aca="false">'Cash Flow'!AU18</f>
        <v>59651.5761911543</v>
      </c>
      <c r="AV17" s="44" t="n">
        <f aca="false">'Cash Flow'!AV18</f>
        <v>58329.1644039837</v>
      </c>
      <c r="AW17" s="44" t="n">
        <f aca="false">'Cash Flow'!AW18</f>
        <v>56996.8345284093</v>
      </c>
      <c r="AX17" s="44" t="n">
        <f aca="false">'Cash Flow'!AX18</f>
        <v>55654.5121787681</v>
      </c>
      <c r="AY17" s="44" t="n">
        <f aca="false">'Cash Flow'!AY18</f>
        <v>54302.1224115047</v>
      </c>
      <c r="AZ17" s="44" t="n">
        <f aca="false">'Cash Flow'!AZ18</f>
        <v>52939.5897209867</v>
      </c>
      <c r="BA17" s="44" t="n">
        <f aca="false">'Cash Flow'!BA18</f>
        <v>51566.8380352899</v>
      </c>
      <c r="BB17" s="44" t="n">
        <f aca="false">'Cash Flow'!BB18</f>
        <v>50183.7907119503</v>
      </c>
      <c r="BC17" s="44" t="n">
        <f aca="false">'Cash Flow'!BC18</f>
        <v>48790.3705336857</v>
      </c>
      <c r="BD17" s="44" t="n">
        <f aca="false">'Cash Flow'!BD18</f>
        <v>47386.4997040841</v>
      </c>
      <c r="BE17" s="44" t="n">
        <f aca="false">'Cash Flow'!BE18</f>
        <v>45972.0998432605</v>
      </c>
      <c r="BF17" s="44" t="n">
        <f aca="false">'Cash Flow'!BF18</f>
        <v>44547.0919834807</v>
      </c>
      <c r="BG17" s="44" t="n">
        <f aca="false">'Cash Flow'!BG18</f>
        <v>43111.3965647526</v>
      </c>
      <c r="BH17" s="44" t="n">
        <f aca="false">'Cash Flow'!BH18</f>
        <v>41664.933430384</v>
      </c>
      <c r="BI17" s="44" t="n">
        <f aca="false">'Cash Flow'!BI18</f>
        <v>40207.6218225076</v>
      </c>
      <c r="BJ17" s="44" t="n">
        <f aca="false">'Cash Flow'!BJ18</f>
        <v>38739.3803775722</v>
      </c>
      <c r="BK17" s="43" t="n">
        <f aca="false">INDEX($C17:$BJ17,BK$5*12)</f>
        <v>98182.84981373</v>
      </c>
      <c r="BL17" s="43" t="n">
        <f aca="false">INDEX($C17:$BJ17,BL$5*12)</f>
        <v>85257.1694291739</v>
      </c>
      <c r="BM17" s="43" t="n">
        <f aca="false">INDEX($C17:$BJ17,BM$5*12)</f>
        <v>71118.9710674559</v>
      </c>
      <c r="BN17" s="43" t="n">
        <f aca="false">INDEX($C17:$BJ17,BN$5*12)</f>
        <v>55654.5121787681</v>
      </c>
      <c r="BO17" s="43" t="n">
        <f aca="false">INDEX($C17:$BJ17,BO$5*12)</f>
        <v>38739.3803775722</v>
      </c>
    </row>
    <row r="18" customFormat="false" ht="15" hidden="false" customHeight="false" outlineLevel="0" collapsed="false">
      <c r="A18" s="39" t="s">
        <v>391</v>
      </c>
      <c r="B18" s="40"/>
      <c r="C18" s="41" t="n">
        <f aca="false">C17</f>
        <v>109055.201391396</v>
      </c>
      <c r="D18" s="41" t="n">
        <f aca="false">D17</f>
        <v>108103.316793227</v>
      </c>
      <c r="E18" s="41" t="n">
        <f aca="false">E17</f>
        <v>107144.293060572</v>
      </c>
      <c r="F18" s="41" t="n">
        <f aca="false">F17</f>
        <v>106178.076649922</v>
      </c>
      <c r="G18" s="41" t="n">
        <f aca="false">G17</f>
        <v>105204.613616192</v>
      </c>
      <c r="H18" s="41" t="n">
        <f aca="false">H17</f>
        <v>104223.849609709</v>
      </c>
      <c r="I18" s="41" t="n">
        <f aca="false">I17</f>
        <v>103235.729873178</v>
      </c>
      <c r="J18" s="41" t="n">
        <f aca="false">J17</f>
        <v>102240.199238623</v>
      </c>
      <c r="K18" s="41" t="n">
        <f aca="false">K17</f>
        <v>101237.202124308</v>
      </c>
      <c r="L18" s="41" t="n">
        <f aca="false">L17</f>
        <v>100226.682531636</v>
      </c>
      <c r="M18" s="41" t="n">
        <f aca="false">M17</f>
        <v>99208.5840420191</v>
      </c>
      <c r="N18" s="41" t="n">
        <f aca="false">N17</f>
        <v>98182.84981373</v>
      </c>
      <c r="O18" s="41" t="n">
        <f aca="false">O17</f>
        <v>97149.4225787287</v>
      </c>
      <c r="P18" s="41" t="n">
        <f aca="false">P17</f>
        <v>96108.2446394649</v>
      </c>
      <c r="Q18" s="41" t="n">
        <f aca="false">Q17</f>
        <v>95059.2578656567</v>
      </c>
      <c r="R18" s="41" t="n">
        <f aca="false">R17</f>
        <v>94002.4036910449</v>
      </c>
      <c r="S18" s="41" t="n">
        <f aca="false">S17</f>
        <v>92937.6231101235</v>
      </c>
      <c r="T18" s="41" t="n">
        <f aca="false">T17</f>
        <v>91864.8566748451</v>
      </c>
      <c r="U18" s="41" t="n">
        <f aca="false">U17</f>
        <v>90784.0444913022</v>
      </c>
      <c r="V18" s="41" t="n">
        <f aca="false">V17</f>
        <v>89695.1262163828</v>
      </c>
      <c r="W18" s="41" t="n">
        <f aca="false">W17</f>
        <v>88598.0410544014</v>
      </c>
      <c r="X18" s="41" t="n">
        <f aca="false">X17</f>
        <v>87492.7277537052</v>
      </c>
      <c r="Y18" s="41" t="n">
        <f aca="false">Y17</f>
        <v>86379.1246032537</v>
      </c>
      <c r="Z18" s="41" t="n">
        <f aca="false">Z17</f>
        <v>85257.1694291739</v>
      </c>
      <c r="AA18" s="41" t="n">
        <f aca="false">AA17</f>
        <v>84126.7995912884</v>
      </c>
      <c r="AB18" s="41" t="n">
        <f aca="false">AB17</f>
        <v>82987.9519796189</v>
      </c>
      <c r="AC18" s="41" t="n">
        <f aca="false">AC17</f>
        <v>81840.5630108618</v>
      </c>
      <c r="AD18" s="41" t="n">
        <f aca="false">AD17</f>
        <v>80684.568624839</v>
      </c>
      <c r="AE18" s="41" t="n">
        <f aca="false">AE17</f>
        <v>79519.904280921</v>
      </c>
      <c r="AF18" s="41" t="n">
        <f aca="false">AF17</f>
        <v>78346.5049544237</v>
      </c>
      <c r="AG18" s="41" t="n">
        <f aca="false">AG17</f>
        <v>77164.3051329776</v>
      </c>
      <c r="AH18" s="41" t="n">
        <f aca="false">AH17</f>
        <v>75973.2388128707</v>
      </c>
      <c r="AI18" s="41" t="n">
        <f aca="false">AI17</f>
        <v>74773.239495363</v>
      </c>
      <c r="AJ18" s="41" t="n">
        <f aca="false">AJ17</f>
        <v>73564.240182974</v>
      </c>
      <c r="AK18" s="41" t="n">
        <f aca="false">AK17</f>
        <v>72346.173375742</v>
      </c>
      <c r="AL18" s="41" t="n">
        <f aca="false">AL17</f>
        <v>71118.9710674559</v>
      </c>
      <c r="AM18" s="41" t="n">
        <f aca="false">AM17</f>
        <v>69882.5647418576</v>
      </c>
      <c r="AN18" s="41" t="n">
        <f aca="false">AN17</f>
        <v>68636.8853688172</v>
      </c>
      <c r="AO18" s="41" t="n">
        <f aca="false">AO17</f>
        <v>67381.8634004791</v>
      </c>
      <c r="AP18" s="41" t="n">
        <f aca="false">AP17</f>
        <v>66117.4287673785</v>
      </c>
      <c r="AQ18" s="41" t="n">
        <f aca="false">AQ17</f>
        <v>64843.5108745296</v>
      </c>
      <c r="AR18" s="41" t="n">
        <f aca="false">AR17</f>
        <v>63560.0385974843</v>
      </c>
      <c r="AS18" s="41" t="n">
        <f aca="false">AS17</f>
        <v>62266.9402783612</v>
      </c>
      <c r="AT18" s="41" t="n">
        <f aca="false">AT17</f>
        <v>60964.1437218447</v>
      </c>
      <c r="AU18" s="41" t="n">
        <f aca="false">AU17</f>
        <v>59651.5761911543</v>
      </c>
      <c r="AV18" s="41" t="n">
        <f aca="false">AV17</f>
        <v>58329.1644039837</v>
      </c>
      <c r="AW18" s="41" t="n">
        <f aca="false">AW17</f>
        <v>56996.8345284093</v>
      </c>
      <c r="AX18" s="41" t="n">
        <f aca="false">AX17</f>
        <v>55654.5121787681</v>
      </c>
      <c r="AY18" s="41" t="n">
        <f aca="false">AY17</f>
        <v>54302.1224115047</v>
      </c>
      <c r="AZ18" s="41" t="n">
        <f aca="false">AZ17</f>
        <v>52939.5897209867</v>
      </c>
      <c r="BA18" s="41" t="n">
        <f aca="false">BA17</f>
        <v>51566.8380352899</v>
      </c>
      <c r="BB18" s="41" t="n">
        <f aca="false">BB17</f>
        <v>50183.7907119503</v>
      </c>
      <c r="BC18" s="41" t="n">
        <f aca="false">BC17</f>
        <v>48790.3705336857</v>
      </c>
      <c r="BD18" s="41" t="n">
        <f aca="false">BD17</f>
        <v>47386.4997040841</v>
      </c>
      <c r="BE18" s="41" t="n">
        <f aca="false">BE17</f>
        <v>45972.0998432605</v>
      </c>
      <c r="BF18" s="41" t="n">
        <f aca="false">BF17</f>
        <v>44547.0919834807</v>
      </c>
      <c r="BG18" s="41" t="n">
        <f aca="false">BG17</f>
        <v>43111.3965647526</v>
      </c>
      <c r="BH18" s="41" t="n">
        <f aca="false">BH17</f>
        <v>41664.933430384</v>
      </c>
      <c r="BI18" s="41" t="n">
        <f aca="false">BI17</f>
        <v>40207.6218225076</v>
      </c>
      <c r="BJ18" s="41" t="n">
        <f aca="false">BJ17</f>
        <v>38739.3803775722</v>
      </c>
      <c r="BK18" s="42" t="n">
        <f aca="false">INDEX($C18:$BJ18,BK$5*12)</f>
        <v>98182.84981373</v>
      </c>
      <c r="BL18" s="42" t="n">
        <f aca="false">INDEX($C18:$BJ18,BL$5*12)</f>
        <v>85257.1694291739</v>
      </c>
      <c r="BM18" s="42" t="n">
        <f aca="false">INDEX($C18:$BJ18,BM$5*12)</f>
        <v>71118.9710674559</v>
      </c>
      <c r="BN18" s="42" t="n">
        <f aca="false">INDEX($C18:$BJ18,BN$5*12)</f>
        <v>55654.5121787681</v>
      </c>
      <c r="BO18" s="42" t="n">
        <f aca="false">INDEX($C18:$BJ18,BO$5*12)</f>
        <v>38739.3803775722</v>
      </c>
    </row>
    <row r="20" customFormat="false" ht="15" hidden="false" customHeight="false" outlineLevel="0" collapsed="false">
      <c r="A20" s="33" t="s">
        <v>392</v>
      </c>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row>
    <row r="21" customFormat="false" ht="15" hidden="false" customHeight="false" outlineLevel="0" collapsed="false">
      <c r="A21" s="18" t="s">
        <v>393</v>
      </c>
      <c r="B21" s="2"/>
      <c r="C21" s="14" t="n">
        <f aca="false">Assumptions!$C$100</f>
        <v>50000</v>
      </c>
      <c r="D21" s="14" t="n">
        <f aca="false">Assumptions!$C$100</f>
        <v>50000</v>
      </c>
      <c r="E21" s="14" t="n">
        <f aca="false">Assumptions!$C$100</f>
        <v>50000</v>
      </c>
      <c r="F21" s="14" t="n">
        <f aca="false">Assumptions!$C$100</f>
        <v>50000</v>
      </c>
      <c r="G21" s="14" t="n">
        <f aca="false">Assumptions!$C$100</f>
        <v>50000</v>
      </c>
      <c r="H21" s="14" t="n">
        <f aca="false">Assumptions!$C$100</f>
        <v>50000</v>
      </c>
      <c r="I21" s="14" t="n">
        <f aca="false">Assumptions!$C$100</f>
        <v>50000</v>
      </c>
      <c r="J21" s="14" t="n">
        <f aca="false">Assumptions!$C$100</f>
        <v>50000</v>
      </c>
      <c r="K21" s="14" t="n">
        <f aca="false">Assumptions!$C$100</f>
        <v>50000</v>
      </c>
      <c r="L21" s="14" t="n">
        <f aca="false">Assumptions!$C$100</f>
        <v>50000</v>
      </c>
      <c r="M21" s="14" t="n">
        <f aca="false">Assumptions!$C$100</f>
        <v>50000</v>
      </c>
      <c r="N21" s="14" t="n">
        <f aca="false">Assumptions!$C$100</f>
        <v>50000</v>
      </c>
      <c r="O21" s="14" t="n">
        <f aca="false">Assumptions!$C$100</f>
        <v>50000</v>
      </c>
      <c r="P21" s="14" t="n">
        <f aca="false">Assumptions!$C$100</f>
        <v>50000</v>
      </c>
      <c r="Q21" s="14" t="n">
        <f aca="false">Assumptions!$C$100</f>
        <v>50000</v>
      </c>
      <c r="R21" s="14" t="n">
        <f aca="false">Assumptions!$C$100</f>
        <v>50000</v>
      </c>
      <c r="S21" s="14" t="n">
        <f aca="false">Assumptions!$C$100</f>
        <v>50000</v>
      </c>
      <c r="T21" s="14" t="n">
        <f aca="false">Assumptions!$C$100</f>
        <v>50000</v>
      </c>
      <c r="U21" s="14" t="n">
        <f aca="false">Assumptions!$C$100</f>
        <v>50000</v>
      </c>
      <c r="V21" s="14" t="n">
        <f aca="false">Assumptions!$C$100</f>
        <v>50000</v>
      </c>
      <c r="W21" s="14" t="n">
        <f aca="false">Assumptions!$C$100</f>
        <v>50000</v>
      </c>
      <c r="X21" s="14" t="n">
        <f aca="false">Assumptions!$C$100</f>
        <v>50000</v>
      </c>
      <c r="Y21" s="14" t="n">
        <f aca="false">Assumptions!$C$100</f>
        <v>50000</v>
      </c>
      <c r="Z21" s="14" t="n">
        <f aca="false">Assumptions!$C$100</f>
        <v>50000</v>
      </c>
      <c r="AA21" s="14" t="n">
        <f aca="false">Assumptions!$C$100</f>
        <v>50000</v>
      </c>
      <c r="AB21" s="14" t="n">
        <f aca="false">Assumptions!$C$100</f>
        <v>50000</v>
      </c>
      <c r="AC21" s="14" t="n">
        <f aca="false">Assumptions!$C$100</f>
        <v>50000</v>
      </c>
      <c r="AD21" s="14" t="n">
        <f aca="false">Assumptions!$C$100</f>
        <v>50000</v>
      </c>
      <c r="AE21" s="14" t="n">
        <f aca="false">Assumptions!$C$100</f>
        <v>50000</v>
      </c>
      <c r="AF21" s="14" t="n">
        <f aca="false">Assumptions!$C$100</f>
        <v>50000</v>
      </c>
      <c r="AG21" s="14" t="n">
        <f aca="false">Assumptions!$C$100</f>
        <v>50000</v>
      </c>
      <c r="AH21" s="14" t="n">
        <f aca="false">Assumptions!$C$100</f>
        <v>50000</v>
      </c>
      <c r="AI21" s="14" t="n">
        <f aca="false">Assumptions!$C$100</f>
        <v>50000</v>
      </c>
      <c r="AJ21" s="14" t="n">
        <f aca="false">Assumptions!$C$100</f>
        <v>50000</v>
      </c>
      <c r="AK21" s="14" t="n">
        <f aca="false">Assumptions!$C$100</f>
        <v>50000</v>
      </c>
      <c r="AL21" s="14" t="n">
        <f aca="false">Assumptions!$C$100</f>
        <v>50000</v>
      </c>
      <c r="AM21" s="14" t="n">
        <f aca="false">Assumptions!$C$100</f>
        <v>50000</v>
      </c>
      <c r="AN21" s="14" t="n">
        <f aca="false">Assumptions!$C$100</f>
        <v>50000</v>
      </c>
      <c r="AO21" s="14" t="n">
        <f aca="false">Assumptions!$C$100</f>
        <v>50000</v>
      </c>
      <c r="AP21" s="14" t="n">
        <f aca="false">Assumptions!$C$100</f>
        <v>50000</v>
      </c>
      <c r="AQ21" s="14" t="n">
        <f aca="false">Assumptions!$C$100</f>
        <v>50000</v>
      </c>
      <c r="AR21" s="14" t="n">
        <f aca="false">Assumptions!$C$100</f>
        <v>50000</v>
      </c>
      <c r="AS21" s="14" t="n">
        <f aca="false">Assumptions!$C$100</f>
        <v>50000</v>
      </c>
      <c r="AT21" s="14" t="n">
        <f aca="false">Assumptions!$C$100</f>
        <v>50000</v>
      </c>
      <c r="AU21" s="14" t="n">
        <f aca="false">Assumptions!$C$100</f>
        <v>50000</v>
      </c>
      <c r="AV21" s="14" t="n">
        <f aca="false">Assumptions!$C$100</f>
        <v>50000</v>
      </c>
      <c r="AW21" s="14" t="n">
        <f aca="false">Assumptions!$C$100</f>
        <v>50000</v>
      </c>
      <c r="AX21" s="14" t="n">
        <f aca="false">Assumptions!$C$100</f>
        <v>50000</v>
      </c>
      <c r="AY21" s="14" t="n">
        <f aca="false">Assumptions!$C$100</f>
        <v>50000</v>
      </c>
      <c r="AZ21" s="14" t="n">
        <f aca="false">Assumptions!$C$100</f>
        <v>50000</v>
      </c>
      <c r="BA21" s="14" t="n">
        <f aca="false">Assumptions!$C$100</f>
        <v>50000</v>
      </c>
      <c r="BB21" s="14" t="n">
        <f aca="false">Assumptions!$C$100</f>
        <v>50000</v>
      </c>
      <c r="BC21" s="14" t="n">
        <f aca="false">Assumptions!$C$100</f>
        <v>50000</v>
      </c>
      <c r="BD21" s="14" t="n">
        <f aca="false">Assumptions!$C$100</f>
        <v>50000</v>
      </c>
      <c r="BE21" s="14" t="n">
        <f aca="false">Assumptions!$C$100</f>
        <v>50000</v>
      </c>
      <c r="BF21" s="14" t="n">
        <f aca="false">Assumptions!$C$100</f>
        <v>50000</v>
      </c>
      <c r="BG21" s="14" t="n">
        <f aca="false">Assumptions!$C$100</f>
        <v>50000</v>
      </c>
      <c r="BH21" s="14" t="n">
        <f aca="false">Assumptions!$C$100</f>
        <v>50000</v>
      </c>
      <c r="BI21" s="14" t="n">
        <f aca="false">Assumptions!$C$100</f>
        <v>50000</v>
      </c>
      <c r="BJ21" s="14" t="n">
        <f aca="false">Assumptions!$C$100</f>
        <v>50000</v>
      </c>
      <c r="BK21" s="43" t="n">
        <f aca="false">INDEX($C21:$BJ21,BK$5*12)</f>
        <v>50000</v>
      </c>
      <c r="BL21" s="43" t="n">
        <f aca="false">INDEX($C21:$BJ21,BL$5*12)</f>
        <v>50000</v>
      </c>
      <c r="BM21" s="43" t="n">
        <f aca="false">INDEX($C21:$BJ21,BM$5*12)</f>
        <v>50000</v>
      </c>
      <c r="BN21" s="43" t="n">
        <f aca="false">INDEX($C21:$BJ21,BN$5*12)</f>
        <v>50000</v>
      </c>
      <c r="BO21" s="43" t="n">
        <f aca="false">INDEX($C21:$BJ21,BO$5*12)</f>
        <v>50000</v>
      </c>
    </row>
    <row r="22" customFormat="false" ht="15" hidden="false" customHeight="false" outlineLevel="0" collapsed="false">
      <c r="A22" s="18" t="s">
        <v>394</v>
      </c>
      <c r="B22" s="2"/>
      <c r="C22" s="14" t="n">
        <f aca="false">Assumptions!$C$101</f>
        <v>10000</v>
      </c>
      <c r="D22" s="14" t="n">
        <f aca="false">Assumptions!$C$101</f>
        <v>10000</v>
      </c>
      <c r="E22" s="14" t="n">
        <f aca="false">Assumptions!$C$101</f>
        <v>10000</v>
      </c>
      <c r="F22" s="14" t="n">
        <f aca="false">Assumptions!$C$101</f>
        <v>10000</v>
      </c>
      <c r="G22" s="14" t="n">
        <f aca="false">Assumptions!$C$101</f>
        <v>10000</v>
      </c>
      <c r="H22" s="14" t="n">
        <f aca="false">Assumptions!$C$101</f>
        <v>10000</v>
      </c>
      <c r="I22" s="14" t="n">
        <f aca="false">Assumptions!$C$101</f>
        <v>10000</v>
      </c>
      <c r="J22" s="14" t="n">
        <f aca="false">Assumptions!$C$101</f>
        <v>10000</v>
      </c>
      <c r="K22" s="14" t="n">
        <f aca="false">Assumptions!$C$101</f>
        <v>10000</v>
      </c>
      <c r="L22" s="14" t="n">
        <f aca="false">Assumptions!$C$101</f>
        <v>10000</v>
      </c>
      <c r="M22" s="14" t="n">
        <f aca="false">Assumptions!$C$101</f>
        <v>10000</v>
      </c>
      <c r="N22" s="14" t="n">
        <f aca="false">Assumptions!$C$101</f>
        <v>10000</v>
      </c>
      <c r="O22" s="14" t="n">
        <f aca="false">Assumptions!$C$101</f>
        <v>10000</v>
      </c>
      <c r="P22" s="14" t="n">
        <f aca="false">Assumptions!$C$101</f>
        <v>10000</v>
      </c>
      <c r="Q22" s="14" t="n">
        <f aca="false">Assumptions!$C$101</f>
        <v>10000</v>
      </c>
      <c r="R22" s="14" t="n">
        <f aca="false">Assumptions!$C$101</f>
        <v>10000</v>
      </c>
      <c r="S22" s="14" t="n">
        <f aca="false">Assumptions!$C$101</f>
        <v>10000</v>
      </c>
      <c r="T22" s="14" t="n">
        <f aca="false">Assumptions!$C$101</f>
        <v>10000</v>
      </c>
      <c r="U22" s="14" t="n">
        <f aca="false">Assumptions!$C$101</f>
        <v>10000</v>
      </c>
      <c r="V22" s="14" t="n">
        <f aca="false">Assumptions!$C$101</f>
        <v>10000</v>
      </c>
      <c r="W22" s="14" t="n">
        <f aca="false">Assumptions!$C$101</f>
        <v>10000</v>
      </c>
      <c r="X22" s="14" t="n">
        <f aca="false">Assumptions!$C$101</f>
        <v>10000</v>
      </c>
      <c r="Y22" s="14" t="n">
        <f aca="false">Assumptions!$C$101</f>
        <v>10000</v>
      </c>
      <c r="Z22" s="14" t="n">
        <f aca="false">Assumptions!$C$101</f>
        <v>10000</v>
      </c>
      <c r="AA22" s="14" t="n">
        <f aca="false">Assumptions!$C$101</f>
        <v>10000</v>
      </c>
      <c r="AB22" s="14" t="n">
        <f aca="false">Assumptions!$C$101</f>
        <v>10000</v>
      </c>
      <c r="AC22" s="14" t="n">
        <f aca="false">Assumptions!$C$101</f>
        <v>10000</v>
      </c>
      <c r="AD22" s="14" t="n">
        <f aca="false">Assumptions!$C$101</f>
        <v>10000</v>
      </c>
      <c r="AE22" s="14" t="n">
        <f aca="false">Assumptions!$C$101</f>
        <v>10000</v>
      </c>
      <c r="AF22" s="14" t="n">
        <f aca="false">Assumptions!$C$101</f>
        <v>10000</v>
      </c>
      <c r="AG22" s="14" t="n">
        <f aca="false">Assumptions!$C$101</f>
        <v>10000</v>
      </c>
      <c r="AH22" s="14" t="n">
        <f aca="false">Assumptions!$C$101</f>
        <v>10000</v>
      </c>
      <c r="AI22" s="14" t="n">
        <f aca="false">Assumptions!$C$101</f>
        <v>10000</v>
      </c>
      <c r="AJ22" s="14" t="n">
        <f aca="false">Assumptions!$C$101</f>
        <v>10000</v>
      </c>
      <c r="AK22" s="14" t="n">
        <f aca="false">Assumptions!$C$101</f>
        <v>10000</v>
      </c>
      <c r="AL22" s="14" t="n">
        <f aca="false">Assumptions!$C$101</f>
        <v>10000</v>
      </c>
      <c r="AM22" s="14" t="n">
        <f aca="false">Assumptions!$C$101</f>
        <v>10000</v>
      </c>
      <c r="AN22" s="14" t="n">
        <f aca="false">Assumptions!$C$101</f>
        <v>10000</v>
      </c>
      <c r="AO22" s="14" t="n">
        <f aca="false">Assumptions!$C$101</f>
        <v>10000</v>
      </c>
      <c r="AP22" s="14" t="n">
        <f aca="false">Assumptions!$C$101</f>
        <v>10000</v>
      </c>
      <c r="AQ22" s="14" t="n">
        <f aca="false">Assumptions!$C$101</f>
        <v>10000</v>
      </c>
      <c r="AR22" s="14" t="n">
        <f aca="false">Assumptions!$C$101</f>
        <v>10000</v>
      </c>
      <c r="AS22" s="14" t="n">
        <f aca="false">Assumptions!$C$101</f>
        <v>10000</v>
      </c>
      <c r="AT22" s="14" t="n">
        <f aca="false">Assumptions!$C$101</f>
        <v>10000</v>
      </c>
      <c r="AU22" s="14" t="n">
        <f aca="false">Assumptions!$C$101</f>
        <v>10000</v>
      </c>
      <c r="AV22" s="14" t="n">
        <f aca="false">Assumptions!$C$101</f>
        <v>10000</v>
      </c>
      <c r="AW22" s="14" t="n">
        <f aca="false">Assumptions!$C$101</f>
        <v>10000</v>
      </c>
      <c r="AX22" s="14" t="n">
        <f aca="false">Assumptions!$C$101</f>
        <v>10000</v>
      </c>
      <c r="AY22" s="14" t="n">
        <f aca="false">Assumptions!$C$101</f>
        <v>10000</v>
      </c>
      <c r="AZ22" s="14" t="n">
        <f aca="false">Assumptions!$C$101</f>
        <v>10000</v>
      </c>
      <c r="BA22" s="14" t="n">
        <f aca="false">Assumptions!$C$101</f>
        <v>10000</v>
      </c>
      <c r="BB22" s="14" t="n">
        <f aca="false">Assumptions!$C$101</f>
        <v>10000</v>
      </c>
      <c r="BC22" s="14" t="n">
        <f aca="false">Assumptions!$C$101</f>
        <v>10000</v>
      </c>
      <c r="BD22" s="14" t="n">
        <f aca="false">Assumptions!$C$101</f>
        <v>10000</v>
      </c>
      <c r="BE22" s="14" t="n">
        <f aca="false">Assumptions!$C$101</f>
        <v>10000</v>
      </c>
      <c r="BF22" s="14" t="n">
        <f aca="false">Assumptions!$C$101</f>
        <v>10000</v>
      </c>
      <c r="BG22" s="14" t="n">
        <f aca="false">Assumptions!$C$101</f>
        <v>10000</v>
      </c>
      <c r="BH22" s="14" t="n">
        <f aca="false">Assumptions!$C$101</f>
        <v>10000</v>
      </c>
      <c r="BI22" s="14" t="n">
        <f aca="false">Assumptions!$C$101</f>
        <v>10000</v>
      </c>
      <c r="BJ22" s="14" t="n">
        <f aca="false">Assumptions!$C$101</f>
        <v>10000</v>
      </c>
      <c r="BK22" s="43" t="n">
        <f aca="false">INDEX($C22:$BJ22,BK$5*12)</f>
        <v>10000</v>
      </c>
      <c r="BL22" s="43" t="n">
        <f aca="false">INDEX($C22:$BJ22,BL$5*12)</f>
        <v>10000</v>
      </c>
      <c r="BM22" s="43" t="n">
        <f aca="false">INDEX($C22:$BJ22,BM$5*12)</f>
        <v>10000</v>
      </c>
      <c r="BN22" s="43" t="n">
        <f aca="false">INDEX($C22:$BJ22,BN$5*12)</f>
        <v>10000</v>
      </c>
      <c r="BO22" s="43" t="n">
        <f aca="false">INDEX($C22:$BJ22,BO$5*12)</f>
        <v>10000</v>
      </c>
    </row>
    <row r="23" customFormat="false" ht="15" hidden="false" customHeight="false" outlineLevel="0" collapsed="false">
      <c r="A23" s="18" t="s">
        <v>395</v>
      </c>
      <c r="B23" s="2"/>
      <c r="C23" s="14" t="n">
        <f aca="false">-Assumptions!$C$110</f>
        <v>-21000</v>
      </c>
      <c r="D23" s="14" t="n">
        <f aca="false">-Assumptions!$C$110</f>
        <v>-21000</v>
      </c>
      <c r="E23" s="14" t="n">
        <f aca="false">-Assumptions!$C$110</f>
        <v>-21000</v>
      </c>
      <c r="F23" s="14" t="n">
        <f aca="false">-Assumptions!$C$110</f>
        <v>-21000</v>
      </c>
      <c r="G23" s="14" t="n">
        <f aca="false">-Assumptions!$C$110</f>
        <v>-21000</v>
      </c>
      <c r="H23" s="14" t="n">
        <f aca="false">-Assumptions!$C$110</f>
        <v>-21000</v>
      </c>
      <c r="I23" s="14" t="n">
        <f aca="false">-Assumptions!$C$110</f>
        <v>-21000</v>
      </c>
      <c r="J23" s="14" t="n">
        <f aca="false">-Assumptions!$C$110</f>
        <v>-21000</v>
      </c>
      <c r="K23" s="14" t="n">
        <f aca="false">-Assumptions!$C$110</f>
        <v>-21000</v>
      </c>
      <c r="L23" s="14" t="n">
        <f aca="false">-Assumptions!$C$110</f>
        <v>-21000</v>
      </c>
      <c r="M23" s="14" t="n">
        <f aca="false">-Assumptions!$C$110</f>
        <v>-21000</v>
      </c>
      <c r="N23" s="14" t="n">
        <f aca="false">-Assumptions!$C$110</f>
        <v>-21000</v>
      </c>
      <c r="O23" s="14" t="n">
        <f aca="false">-Assumptions!$C$110</f>
        <v>-21000</v>
      </c>
      <c r="P23" s="14" t="n">
        <f aca="false">-Assumptions!$C$110</f>
        <v>-21000</v>
      </c>
      <c r="Q23" s="14" t="n">
        <f aca="false">-Assumptions!$C$110</f>
        <v>-21000</v>
      </c>
      <c r="R23" s="14" t="n">
        <f aca="false">-Assumptions!$C$110</f>
        <v>-21000</v>
      </c>
      <c r="S23" s="14" t="n">
        <f aca="false">-Assumptions!$C$110</f>
        <v>-21000</v>
      </c>
      <c r="T23" s="14" t="n">
        <f aca="false">-Assumptions!$C$110</f>
        <v>-21000</v>
      </c>
      <c r="U23" s="14" t="n">
        <f aca="false">-Assumptions!$C$110</f>
        <v>-21000</v>
      </c>
      <c r="V23" s="14" t="n">
        <f aca="false">-Assumptions!$C$110</f>
        <v>-21000</v>
      </c>
      <c r="W23" s="14" t="n">
        <f aca="false">-Assumptions!$C$110</f>
        <v>-21000</v>
      </c>
      <c r="X23" s="14" t="n">
        <f aca="false">-Assumptions!$C$110</f>
        <v>-21000</v>
      </c>
      <c r="Y23" s="14" t="n">
        <f aca="false">-Assumptions!$C$110</f>
        <v>-21000</v>
      </c>
      <c r="Z23" s="14" t="n">
        <f aca="false">-Assumptions!$C$110</f>
        <v>-21000</v>
      </c>
      <c r="AA23" s="14" t="n">
        <f aca="false">-Assumptions!$C$110</f>
        <v>-21000</v>
      </c>
      <c r="AB23" s="14" t="n">
        <f aca="false">-Assumptions!$C$110</f>
        <v>-21000</v>
      </c>
      <c r="AC23" s="14" t="n">
        <f aca="false">-Assumptions!$C$110</f>
        <v>-21000</v>
      </c>
      <c r="AD23" s="14" t="n">
        <f aca="false">-Assumptions!$C$110</f>
        <v>-21000</v>
      </c>
      <c r="AE23" s="14" t="n">
        <f aca="false">-Assumptions!$C$110</f>
        <v>-21000</v>
      </c>
      <c r="AF23" s="14" t="n">
        <f aca="false">-Assumptions!$C$110</f>
        <v>-21000</v>
      </c>
      <c r="AG23" s="14" t="n">
        <f aca="false">-Assumptions!$C$110</f>
        <v>-21000</v>
      </c>
      <c r="AH23" s="14" t="n">
        <f aca="false">-Assumptions!$C$110</f>
        <v>-21000</v>
      </c>
      <c r="AI23" s="14" t="n">
        <f aca="false">-Assumptions!$C$110</f>
        <v>-21000</v>
      </c>
      <c r="AJ23" s="14" t="n">
        <f aca="false">-Assumptions!$C$110</f>
        <v>-21000</v>
      </c>
      <c r="AK23" s="14" t="n">
        <f aca="false">-Assumptions!$C$110</f>
        <v>-21000</v>
      </c>
      <c r="AL23" s="14" t="n">
        <f aca="false">-Assumptions!$C$110</f>
        <v>-21000</v>
      </c>
      <c r="AM23" s="14" t="n">
        <f aca="false">-Assumptions!$C$110</f>
        <v>-21000</v>
      </c>
      <c r="AN23" s="14" t="n">
        <f aca="false">-Assumptions!$C$110</f>
        <v>-21000</v>
      </c>
      <c r="AO23" s="14" t="n">
        <f aca="false">-Assumptions!$C$110</f>
        <v>-21000</v>
      </c>
      <c r="AP23" s="14" t="n">
        <f aca="false">-Assumptions!$C$110</f>
        <v>-21000</v>
      </c>
      <c r="AQ23" s="14" t="n">
        <f aca="false">-Assumptions!$C$110</f>
        <v>-21000</v>
      </c>
      <c r="AR23" s="14" t="n">
        <f aca="false">-Assumptions!$C$110</f>
        <v>-21000</v>
      </c>
      <c r="AS23" s="14" t="n">
        <f aca="false">-Assumptions!$C$110</f>
        <v>-21000</v>
      </c>
      <c r="AT23" s="14" t="n">
        <f aca="false">-Assumptions!$C$110</f>
        <v>-21000</v>
      </c>
      <c r="AU23" s="14" t="n">
        <f aca="false">-Assumptions!$C$110</f>
        <v>-21000</v>
      </c>
      <c r="AV23" s="14" t="n">
        <f aca="false">-Assumptions!$C$110</f>
        <v>-21000</v>
      </c>
      <c r="AW23" s="14" t="n">
        <f aca="false">-Assumptions!$C$110</f>
        <v>-21000</v>
      </c>
      <c r="AX23" s="14" t="n">
        <f aca="false">-Assumptions!$C$110</f>
        <v>-21000</v>
      </c>
      <c r="AY23" s="14" t="n">
        <f aca="false">-Assumptions!$C$110</f>
        <v>-21000</v>
      </c>
      <c r="AZ23" s="14" t="n">
        <f aca="false">-Assumptions!$C$110</f>
        <v>-21000</v>
      </c>
      <c r="BA23" s="14" t="n">
        <f aca="false">-Assumptions!$C$110</f>
        <v>-21000</v>
      </c>
      <c r="BB23" s="14" t="n">
        <f aca="false">-Assumptions!$C$110</f>
        <v>-21000</v>
      </c>
      <c r="BC23" s="14" t="n">
        <f aca="false">-Assumptions!$C$110</f>
        <v>-21000</v>
      </c>
      <c r="BD23" s="14" t="n">
        <f aca="false">-Assumptions!$C$110</f>
        <v>-21000</v>
      </c>
      <c r="BE23" s="14" t="n">
        <f aca="false">-Assumptions!$C$110</f>
        <v>-21000</v>
      </c>
      <c r="BF23" s="14" t="n">
        <f aca="false">-Assumptions!$C$110</f>
        <v>-21000</v>
      </c>
      <c r="BG23" s="14" t="n">
        <f aca="false">-Assumptions!$C$110</f>
        <v>-21000</v>
      </c>
      <c r="BH23" s="14" t="n">
        <f aca="false">-Assumptions!$C$110</f>
        <v>-21000</v>
      </c>
      <c r="BI23" s="14" t="n">
        <f aca="false">-Assumptions!$C$110</f>
        <v>-21000</v>
      </c>
      <c r="BJ23" s="14" t="n">
        <f aca="false">-Assumptions!$C$110</f>
        <v>-21000</v>
      </c>
      <c r="BK23" s="43" t="n">
        <f aca="false">INDEX($C23:$BJ23,BK$5*12)</f>
        <v>-21000</v>
      </c>
      <c r="BL23" s="43" t="n">
        <f aca="false">INDEX($C23:$BJ23,BL$5*12)</f>
        <v>-21000</v>
      </c>
      <c r="BM23" s="43" t="n">
        <f aca="false">INDEX($C23:$BJ23,BM$5*12)</f>
        <v>-21000</v>
      </c>
      <c r="BN23" s="43" t="n">
        <f aca="false">INDEX($C23:$BJ23,BN$5*12)</f>
        <v>-21000</v>
      </c>
      <c r="BO23" s="43" t="n">
        <f aca="false">INDEX($C23:$BJ23,BO$5*12)</f>
        <v>-21000</v>
      </c>
    </row>
    <row r="24" customFormat="false" ht="15" hidden="false" customHeight="false" outlineLevel="0" collapsed="false">
      <c r="A24" s="18" t="s">
        <v>396</v>
      </c>
      <c r="B24" s="2"/>
      <c r="C24" s="14" t="n">
        <f aca="false">SUM('P&amp;L'!$C$17:C$17)</f>
        <v>-8182.88095238095</v>
      </c>
      <c r="D24" s="14" t="n">
        <f aca="false">SUM('P&amp;L'!$C$17:D$17)</f>
        <v>-14119.0259151974</v>
      </c>
      <c r="E24" s="14" t="n">
        <f aca="false">SUM('P&amp;L'!$C$17:E$17)</f>
        <v>-16066.4317435275</v>
      </c>
      <c r="F24" s="14" t="n">
        <f aca="false">SUM('P&amp;L'!$C$17:F$17)</f>
        <v>-14522.7448938628</v>
      </c>
      <c r="G24" s="14" t="n">
        <f aca="false">SUM('P&amp;L'!$C$17:G$17)</f>
        <v>-9239.06142111814</v>
      </c>
      <c r="H24" s="14" t="n">
        <f aca="false">SUM('P&amp;L'!$C$17:H$17)</f>
        <v>-1210.72697562052</v>
      </c>
      <c r="I24" s="14" t="n">
        <f aca="false">SUM('P&amp;L'!$C$17:I$17)</f>
        <v>2303.96319992571</v>
      </c>
      <c r="J24" s="14" t="n">
        <f aca="false">SUM('P&amp;L'!$C$17:J$17)</f>
        <v>4581.81427349592</v>
      </c>
      <c r="K24" s="14" t="n">
        <f aca="false">SUM('P&amp;L'!$C$17:K$17)</f>
        <v>6867.13182682529</v>
      </c>
      <c r="L24" s="14" t="n">
        <f aca="false">SUM('P&amp;L'!$C$17:L$17)</f>
        <v>9159.97185851203</v>
      </c>
      <c r="M24" s="14" t="n">
        <f aca="false">SUM('P&amp;L'!$C$17:M$17)</f>
        <v>10216.1407871438</v>
      </c>
      <c r="N24" s="14" t="n">
        <f aca="false">SUM('P&amp;L'!$C$17:N$17)</f>
        <v>11279.9454544477</v>
      </c>
      <c r="O24" s="14" t="n">
        <f aca="false">SUM('P&amp;L'!$C$17:O$17)</f>
        <v>12637.2996284638</v>
      </c>
      <c r="P24" s="14" t="n">
        <f aca="false">SUM('P&amp;L'!$C$17:P$17)</f>
        <v>14002.4045067424</v>
      </c>
      <c r="Q24" s="14" t="n">
        <f aca="false">SUM('P&amp;L'!$C$17:Q$17)</f>
        <v>18102.1817195654</v>
      </c>
      <c r="R24" s="14" t="n">
        <f aca="false">SUM('P&amp;L'!$C$17:R$17)</f>
        <v>23573.2580831921</v>
      </c>
      <c r="S24" s="14" t="n">
        <f aca="false">SUM('P&amp;L'!$C$17:S$17)</f>
        <v>30415.6926031283</v>
      </c>
      <c r="T24" s="14" t="n">
        <f aca="false">SUM('P&amp;L'!$C$17:T$17)</f>
        <v>37266.1129774214</v>
      </c>
      <c r="U24" s="14" t="n">
        <f aca="false">SUM('P&amp;L'!$C$17:U$17)</f>
        <v>42761.1473499791</v>
      </c>
      <c r="V24" s="14" t="n">
        <f aca="false">SUM('P&amp;L'!$C$17:V$17)</f>
        <v>46900.8560639134</v>
      </c>
      <c r="W24" s="14" t="n">
        <f aca="false">SUM('P&amp;L'!$C$17:W$17)</f>
        <v>51048.7316649096</v>
      </c>
      <c r="X24" s="14" t="n">
        <f aca="false">SUM('P&amp;L'!$C$17:X$17)</f>
        <v>55204.8354046206</v>
      </c>
      <c r="Y24" s="14" t="n">
        <f aca="false">SUM('P&amp;L'!$C$17:Y$17)</f>
        <v>58005.7972440869</v>
      </c>
      <c r="Z24" s="14" t="n">
        <f aca="false">SUM('P&amp;L'!$C$17:Z$17)</f>
        <v>60815.1111071815</v>
      </c>
      <c r="AA24" s="14" t="n">
        <f aca="false">SUM('P&amp;L'!$C$17:AA$17)</f>
        <v>59905.4612969817</v>
      </c>
      <c r="AB24" s="14" t="n">
        <f aca="false">SUM('P&amp;L'!$C$17:AB$17)</f>
        <v>59004.2892605661</v>
      </c>
      <c r="AC24" s="14" t="n">
        <f aca="false">SUM('P&amp;L'!$C$17:AC$17)</f>
        <v>61100.682399338</v>
      </c>
      <c r="AD24" s="14" t="n">
        <f aca="false">SUM('P&amp;L'!$C$17:AD$17)</f>
        <v>64700.1928644256</v>
      </c>
      <c r="AE24" s="14" t="n">
        <f aca="false">SUM('P&amp;L'!$C$17:AE$17)</f>
        <v>69802.8851964584</v>
      </c>
      <c r="AF24" s="14" t="n">
        <f aca="false">SUM('P&amp;L'!$C$17:AF$17)</f>
        <v>74914.3125110705</v>
      </c>
      <c r="AG24" s="14" t="n">
        <f aca="false">SUM('P&amp;L'!$C$17:AG$17)</f>
        <v>78540.0284115814</v>
      </c>
      <c r="AH24" s="14" t="n">
        <f aca="false">SUM('P&amp;L'!$C$17:AH$17)</f>
        <v>80680.0989017031</v>
      </c>
      <c r="AI24" s="14" t="n">
        <f aca="false">SUM('P&amp;L'!$C$17:AI$17)</f>
        <v>82829.1023892257</v>
      </c>
      <c r="AJ24" s="14" t="n">
        <f aca="false">SUM('P&amp;L'!$C$17:AJ$17)</f>
        <v>84987.1058716295</v>
      </c>
      <c r="AK24" s="14" t="n">
        <f aca="false">SUM('P&amp;L'!$C$17:AK$17)</f>
        <v>85659.6649398262</v>
      </c>
      <c r="AL24" s="14" t="n">
        <f aca="false">SUM('P&amp;L'!$C$17:AL$17)</f>
        <v>86341.3595090772</v>
      </c>
      <c r="AM24" s="14" t="n">
        <f aca="false">SUM('P&amp;L'!$C$17:AM$17)</f>
        <v>87525.0394032176</v>
      </c>
      <c r="AN24" s="14" t="n">
        <f aca="false">SUM('P&amp;L'!$C$17:AN$17)</f>
        <v>88717.9923448</v>
      </c>
      <c r="AO24" s="14" t="n">
        <f aca="false">SUM('P&amp;L'!$C$17:AO$17)</f>
        <v>93197.7503868314</v>
      </c>
      <c r="AP24" s="14" t="n">
        <f aca="false">SUM('P&amp;L'!$C$17:AP$17)</f>
        <v>99325.6523462009</v>
      </c>
      <c r="AQ24" s="14" t="n">
        <f aca="false">SUM('P&amp;L'!$C$17:AQ$17)</f>
        <v>107101.768817894</v>
      </c>
      <c r="AR24" s="14" t="n">
        <f aca="false">SUM('P&amp;L'!$C$17:AR$17)</f>
        <v>114887.439673784</v>
      </c>
      <c r="AS24" s="14" t="n">
        <f aca="false">SUM('P&amp;L'!$C$17:AS$17)</f>
        <v>121044.005319176</v>
      </c>
      <c r="AT24" s="14" t="n">
        <f aca="false">SUM('P&amp;L'!$C$17:AT$17)</f>
        <v>125571.537949386</v>
      </c>
      <c r="AU24" s="14" t="n">
        <f aca="false">SUM('P&amp;L'!$C$17:AU$17)</f>
        <v>130108.84155377</v>
      </c>
      <c r="AV24" s="14" t="n">
        <f aca="false">SUM('P&amp;L'!$C$17:AV$17)</f>
        <v>134655.989414633</v>
      </c>
      <c r="AW24" s="14" t="n">
        <f aca="false">SUM('P&amp;L'!$C$17:AW$17)</f>
        <v>137574.324111325</v>
      </c>
      <c r="AX24" s="14" t="n">
        <f aca="false">SUM('P&amp;L'!$C$17:AX$17)</f>
        <v>140502.651282084</v>
      </c>
      <c r="AY24" s="14" t="n">
        <f aca="false">SUM('P&amp;L'!$C$17:AY$17)</f>
        <v>143860.953597543</v>
      </c>
      <c r="AZ24" s="14" t="n">
        <f aca="false">SUM('P&amp;L'!$C$17:AZ$17)</f>
        <v>147229.398836256</v>
      </c>
      <c r="BA24" s="14" t="n">
        <f aca="false">SUM('P&amp;L'!$C$17:BA$17)</f>
        <v>154202.994493317</v>
      </c>
      <c r="BB24" s="14" t="n">
        <f aca="false">SUM('P&amp;L'!$C$17:BB$17)</f>
        <v>162984.351499605</v>
      </c>
      <c r="BC24" s="14" t="n">
        <f aca="false">SUM('P&amp;L'!$C$17:BC$17)</f>
        <v>173573.547072403</v>
      </c>
      <c r="BD24" s="14" t="n">
        <f aca="false">SUM('P&amp;L'!$C$17:BD$17)</f>
        <v>184173.193296537</v>
      </c>
      <c r="BE24" s="14" t="n">
        <f aca="false">SUM('P&amp;L'!$C$17:BE$17)</f>
        <v>192985.902840309</v>
      </c>
      <c r="BF24" s="14" t="n">
        <f aca="false">SUM('P&amp;L'!$C$17:BF$17)</f>
        <v>200011.754671453</v>
      </c>
      <c r="BG24" s="14" t="n">
        <f aca="false">SUM('P&amp;L'!$C$17:BG$17)</f>
        <v>207048.294061545</v>
      </c>
      <c r="BH24" s="14" t="n">
        <f aca="false">SUM('P&amp;L'!$C$17:BH$17)</f>
        <v>214095.601167278</v>
      </c>
      <c r="BI24" s="14" t="n">
        <f aca="false">SUM('P&amp;L'!$C$17:BI$17)</f>
        <v>219356.291034934</v>
      </c>
      <c r="BJ24" s="14" t="n">
        <f aca="false">SUM('P&amp;L'!$C$17:BJ$17)</f>
        <v>224627.910739649</v>
      </c>
      <c r="BK24" s="43" t="n">
        <f aca="false">INDEX($C24:$BJ24,BK$5*12)</f>
        <v>11279.9454544477</v>
      </c>
      <c r="BL24" s="43" t="n">
        <f aca="false">INDEX($C24:$BJ24,BL$5*12)</f>
        <v>60815.1111071815</v>
      </c>
      <c r="BM24" s="43" t="n">
        <f aca="false">INDEX($C24:$BJ24,BM$5*12)</f>
        <v>86341.3595090772</v>
      </c>
      <c r="BN24" s="43" t="n">
        <f aca="false">INDEX($C24:$BJ24,BN$5*12)</f>
        <v>140502.651282084</v>
      </c>
      <c r="BO24" s="43" t="n">
        <f aca="false">INDEX($C24:$BJ24,BO$5*12)</f>
        <v>224627.910739649</v>
      </c>
    </row>
    <row r="25" customFormat="false" ht="15" hidden="false" customHeight="false" outlineLevel="0" collapsed="false">
      <c r="A25" s="18" t="s">
        <v>397</v>
      </c>
      <c r="B25" s="2"/>
      <c r="C25" s="14" t="n">
        <f aca="false">-Assumptions!$C$102*C4</f>
        <v>-0</v>
      </c>
      <c r="D25" s="14" t="n">
        <f aca="false">-Assumptions!$C$102*D4</f>
        <v>-0</v>
      </c>
      <c r="E25" s="14" t="n">
        <f aca="false">-Assumptions!$C$102*E4</f>
        <v>-0</v>
      </c>
      <c r="F25" s="14" t="n">
        <f aca="false">-Assumptions!$C$102*F4</f>
        <v>-0</v>
      </c>
      <c r="G25" s="14" t="n">
        <f aca="false">-Assumptions!$C$102*G4</f>
        <v>-0</v>
      </c>
      <c r="H25" s="14" t="n">
        <f aca="false">-Assumptions!$C$102*H4</f>
        <v>-0</v>
      </c>
      <c r="I25" s="14" t="n">
        <f aca="false">-Assumptions!$C$102*I4</f>
        <v>-0</v>
      </c>
      <c r="J25" s="14" t="n">
        <f aca="false">-Assumptions!$C$102*J4</f>
        <v>-0</v>
      </c>
      <c r="K25" s="14" t="n">
        <f aca="false">-Assumptions!$C$102*K4</f>
        <v>-0</v>
      </c>
      <c r="L25" s="14" t="n">
        <f aca="false">-Assumptions!$C$102*L4</f>
        <v>-0</v>
      </c>
      <c r="M25" s="14" t="n">
        <f aca="false">-Assumptions!$C$102*M4</f>
        <v>-0</v>
      </c>
      <c r="N25" s="14" t="n">
        <f aca="false">-Assumptions!$C$102*N4</f>
        <v>-0</v>
      </c>
      <c r="O25" s="14" t="n">
        <f aca="false">-Assumptions!$C$102*O4</f>
        <v>-0</v>
      </c>
      <c r="P25" s="14" t="n">
        <f aca="false">-Assumptions!$C$102*P4</f>
        <v>-0</v>
      </c>
      <c r="Q25" s="14" t="n">
        <f aca="false">-Assumptions!$C$102*Q4</f>
        <v>-0</v>
      </c>
      <c r="R25" s="14" t="n">
        <f aca="false">-Assumptions!$C$102*R4</f>
        <v>-0</v>
      </c>
      <c r="S25" s="14" t="n">
        <f aca="false">-Assumptions!$C$102*S4</f>
        <v>-0</v>
      </c>
      <c r="T25" s="14" t="n">
        <f aca="false">-Assumptions!$C$102*T4</f>
        <v>-0</v>
      </c>
      <c r="U25" s="14" t="n">
        <f aca="false">-Assumptions!$C$102*U4</f>
        <v>-0</v>
      </c>
      <c r="V25" s="14" t="n">
        <f aca="false">-Assumptions!$C$102*V4</f>
        <v>-0</v>
      </c>
      <c r="W25" s="14" t="n">
        <f aca="false">-Assumptions!$C$102*W4</f>
        <v>-0</v>
      </c>
      <c r="X25" s="14" t="n">
        <f aca="false">-Assumptions!$C$102*X4</f>
        <v>-0</v>
      </c>
      <c r="Y25" s="14" t="n">
        <f aca="false">-Assumptions!$C$102*Y4</f>
        <v>-0</v>
      </c>
      <c r="Z25" s="14" t="n">
        <f aca="false">-Assumptions!$C$102*Z4</f>
        <v>-0</v>
      </c>
      <c r="AA25" s="14" t="n">
        <f aca="false">-Assumptions!$C$102*AA4</f>
        <v>-0</v>
      </c>
      <c r="AB25" s="14" t="n">
        <f aca="false">-Assumptions!$C$102*AB4</f>
        <v>-0</v>
      </c>
      <c r="AC25" s="14" t="n">
        <f aca="false">-Assumptions!$C$102*AC4</f>
        <v>-0</v>
      </c>
      <c r="AD25" s="14" t="n">
        <f aca="false">-Assumptions!$C$102*AD4</f>
        <v>-0</v>
      </c>
      <c r="AE25" s="14" t="n">
        <f aca="false">-Assumptions!$C$102*AE4</f>
        <v>-0</v>
      </c>
      <c r="AF25" s="14" t="n">
        <f aca="false">-Assumptions!$C$102*AF4</f>
        <v>-0</v>
      </c>
      <c r="AG25" s="14" t="n">
        <f aca="false">-Assumptions!$C$102*AG4</f>
        <v>-0</v>
      </c>
      <c r="AH25" s="14" t="n">
        <f aca="false">-Assumptions!$C$102*AH4</f>
        <v>-0</v>
      </c>
      <c r="AI25" s="14" t="n">
        <f aca="false">-Assumptions!$C$102*AI4</f>
        <v>-0</v>
      </c>
      <c r="AJ25" s="14" t="n">
        <f aca="false">-Assumptions!$C$102*AJ4</f>
        <v>-0</v>
      </c>
      <c r="AK25" s="14" t="n">
        <f aca="false">-Assumptions!$C$102*AK4</f>
        <v>-0</v>
      </c>
      <c r="AL25" s="14" t="n">
        <f aca="false">-Assumptions!$C$102*AL4</f>
        <v>-0</v>
      </c>
      <c r="AM25" s="14" t="n">
        <f aca="false">-Assumptions!$C$102*AM4</f>
        <v>-0</v>
      </c>
      <c r="AN25" s="14" t="n">
        <f aca="false">-Assumptions!$C$102*AN4</f>
        <v>-0</v>
      </c>
      <c r="AO25" s="14" t="n">
        <f aca="false">-Assumptions!$C$102*AO4</f>
        <v>-0</v>
      </c>
      <c r="AP25" s="14" t="n">
        <f aca="false">-Assumptions!$C$102*AP4</f>
        <v>-0</v>
      </c>
      <c r="AQ25" s="14" t="n">
        <f aca="false">-Assumptions!$C$102*AQ4</f>
        <v>-0</v>
      </c>
      <c r="AR25" s="14" t="n">
        <f aca="false">-Assumptions!$C$102*AR4</f>
        <v>-0</v>
      </c>
      <c r="AS25" s="14" t="n">
        <f aca="false">-Assumptions!$C$102*AS4</f>
        <v>-0</v>
      </c>
      <c r="AT25" s="14" t="n">
        <f aca="false">-Assumptions!$C$102*AT4</f>
        <v>-0</v>
      </c>
      <c r="AU25" s="14" t="n">
        <f aca="false">-Assumptions!$C$102*AU4</f>
        <v>-0</v>
      </c>
      <c r="AV25" s="14" t="n">
        <f aca="false">-Assumptions!$C$102*AV4</f>
        <v>-0</v>
      </c>
      <c r="AW25" s="14" t="n">
        <f aca="false">-Assumptions!$C$102*AW4</f>
        <v>-0</v>
      </c>
      <c r="AX25" s="14" t="n">
        <f aca="false">-Assumptions!$C$102*AX4</f>
        <v>-0</v>
      </c>
      <c r="AY25" s="14" t="n">
        <f aca="false">-Assumptions!$C$102*AY4</f>
        <v>-0</v>
      </c>
      <c r="AZ25" s="14" t="n">
        <f aca="false">-Assumptions!$C$102*AZ4</f>
        <v>-0</v>
      </c>
      <c r="BA25" s="14" t="n">
        <f aca="false">-Assumptions!$C$102*BA4</f>
        <v>-0</v>
      </c>
      <c r="BB25" s="14" t="n">
        <f aca="false">-Assumptions!$C$102*BB4</f>
        <v>-0</v>
      </c>
      <c r="BC25" s="14" t="n">
        <f aca="false">-Assumptions!$C$102*BC4</f>
        <v>-0</v>
      </c>
      <c r="BD25" s="14" t="n">
        <f aca="false">-Assumptions!$C$102*BD4</f>
        <v>-0</v>
      </c>
      <c r="BE25" s="14" t="n">
        <f aca="false">-Assumptions!$C$102*BE4</f>
        <v>-0</v>
      </c>
      <c r="BF25" s="14" t="n">
        <f aca="false">-Assumptions!$C$102*BF4</f>
        <v>-0</v>
      </c>
      <c r="BG25" s="14" t="n">
        <f aca="false">-Assumptions!$C$102*BG4</f>
        <v>-0</v>
      </c>
      <c r="BH25" s="14" t="n">
        <f aca="false">-Assumptions!$C$102*BH4</f>
        <v>-0</v>
      </c>
      <c r="BI25" s="14" t="n">
        <f aca="false">-Assumptions!$C$102*BI4</f>
        <v>-0</v>
      </c>
      <c r="BJ25" s="14" t="n">
        <f aca="false">-Assumptions!$C$102*BJ4</f>
        <v>-0</v>
      </c>
      <c r="BK25" s="43" t="n">
        <f aca="false">INDEX($C25:$BJ25,BK$5*12)</f>
        <v>-0</v>
      </c>
      <c r="BL25" s="43" t="n">
        <f aca="false">INDEX($C25:$BJ25,BL$5*12)</f>
        <v>-0</v>
      </c>
      <c r="BM25" s="43" t="n">
        <f aca="false">INDEX($C25:$BJ25,BM$5*12)</f>
        <v>-0</v>
      </c>
      <c r="BN25" s="43" t="n">
        <f aca="false">INDEX($C25:$BJ25,BN$5*12)</f>
        <v>-0</v>
      </c>
      <c r="BO25" s="43" t="n">
        <f aca="false">INDEX($C25:$BJ25,BO$5*12)</f>
        <v>-0</v>
      </c>
    </row>
    <row r="26" customFormat="false" ht="15" hidden="false" customHeight="false" outlineLevel="0" collapsed="false">
      <c r="A26" s="39" t="s">
        <v>398</v>
      </c>
      <c r="B26" s="40"/>
      <c r="C26" s="41" t="n">
        <f aca="false">C21+C22+C23+C24+C25</f>
        <v>30817.119047619</v>
      </c>
      <c r="D26" s="41" t="n">
        <f aca="false">D21+D22+D23+D24+D25</f>
        <v>24880.9740848026</v>
      </c>
      <c r="E26" s="41" t="n">
        <f aca="false">E21+E22+E23+E24+E25</f>
        <v>22933.5682564725</v>
      </c>
      <c r="F26" s="41" t="n">
        <f aca="false">F21+F22+F23+F24+F25</f>
        <v>24477.2551061372</v>
      </c>
      <c r="G26" s="41" t="n">
        <f aca="false">G21+G22+G23+G24+G25</f>
        <v>29760.9385788819</v>
      </c>
      <c r="H26" s="41" t="n">
        <f aca="false">H21+H22+H23+H24+H25</f>
        <v>37789.2730243795</v>
      </c>
      <c r="I26" s="41" t="n">
        <f aca="false">I21+I22+I23+I24+I25</f>
        <v>41303.9631999257</v>
      </c>
      <c r="J26" s="41" t="n">
        <f aca="false">J21+J22+J23+J24+J25</f>
        <v>43581.8142734959</v>
      </c>
      <c r="K26" s="41" t="n">
        <f aca="false">K21+K22+K23+K24+K25</f>
        <v>45867.1318268253</v>
      </c>
      <c r="L26" s="41" t="n">
        <f aca="false">L21+L22+L23+L24+L25</f>
        <v>48159.971858512</v>
      </c>
      <c r="M26" s="41" t="n">
        <f aca="false">M21+M22+M23+M24+M25</f>
        <v>49216.1407871438</v>
      </c>
      <c r="N26" s="41" t="n">
        <f aca="false">N21+N22+N23+N24+N25</f>
        <v>50279.9454544477</v>
      </c>
      <c r="O26" s="41" t="n">
        <f aca="false">O21+O22+O23+O24+O25</f>
        <v>51637.2996284638</v>
      </c>
      <c r="P26" s="41" t="n">
        <f aca="false">P21+P22+P23+P24+P25</f>
        <v>53002.4045067424</v>
      </c>
      <c r="Q26" s="41" t="n">
        <f aca="false">Q21+Q22+Q23+Q24+Q25</f>
        <v>57102.1817195654</v>
      </c>
      <c r="R26" s="41" t="n">
        <f aca="false">R21+R22+R23+R24+R25</f>
        <v>62573.2580831921</v>
      </c>
      <c r="S26" s="41" t="n">
        <f aca="false">S21+S22+S23+S24+S25</f>
        <v>69415.6926031283</v>
      </c>
      <c r="T26" s="41" t="n">
        <f aca="false">T21+T22+T23+T24+T25</f>
        <v>76266.1129774214</v>
      </c>
      <c r="U26" s="41" t="n">
        <f aca="false">U21+U22+U23+U24+U25</f>
        <v>81761.1473499791</v>
      </c>
      <c r="V26" s="41" t="n">
        <f aca="false">V21+V22+V23+V24+V25</f>
        <v>85900.8560639134</v>
      </c>
      <c r="W26" s="41" t="n">
        <f aca="false">W21+W22+W23+W24+W25</f>
        <v>90048.7316649096</v>
      </c>
      <c r="X26" s="41" t="n">
        <f aca="false">X21+X22+X23+X24+X25</f>
        <v>94204.8354046206</v>
      </c>
      <c r="Y26" s="41" t="n">
        <f aca="false">Y21+Y22+Y23+Y24+Y25</f>
        <v>97005.7972440869</v>
      </c>
      <c r="Z26" s="41" t="n">
        <f aca="false">Z21+Z22+Z23+Z24+Z25</f>
        <v>99815.1111071815</v>
      </c>
      <c r="AA26" s="41" t="n">
        <f aca="false">AA21+AA22+AA23+AA24+AA25</f>
        <v>98905.4612969818</v>
      </c>
      <c r="AB26" s="41" t="n">
        <f aca="false">AB21+AB22+AB23+AB24+AB25</f>
        <v>98004.2892605662</v>
      </c>
      <c r="AC26" s="41" t="n">
        <f aca="false">AC21+AC22+AC23+AC24+AC25</f>
        <v>100100.682399338</v>
      </c>
      <c r="AD26" s="41" t="n">
        <f aca="false">AD21+AD22+AD23+AD24+AD25</f>
        <v>103700.192864426</v>
      </c>
      <c r="AE26" s="41" t="n">
        <f aca="false">AE21+AE22+AE23+AE24+AE25</f>
        <v>108802.885196458</v>
      </c>
      <c r="AF26" s="41" t="n">
        <f aca="false">AF21+AF22+AF23+AF24+AF25</f>
        <v>113914.312511071</v>
      </c>
      <c r="AG26" s="41" t="n">
        <f aca="false">AG21+AG22+AG23+AG24+AG25</f>
        <v>117540.028411581</v>
      </c>
      <c r="AH26" s="41" t="n">
        <f aca="false">AH21+AH22+AH23+AH24+AH25</f>
        <v>119680.098901703</v>
      </c>
      <c r="AI26" s="41" t="n">
        <f aca="false">AI21+AI22+AI23+AI24+AI25</f>
        <v>121829.102389226</v>
      </c>
      <c r="AJ26" s="41" t="n">
        <f aca="false">AJ21+AJ22+AJ23+AJ24+AJ25</f>
        <v>123987.105871629</v>
      </c>
      <c r="AK26" s="41" t="n">
        <f aca="false">AK21+AK22+AK23+AK24+AK25</f>
        <v>124659.664939826</v>
      </c>
      <c r="AL26" s="41" t="n">
        <f aca="false">AL21+AL22+AL23+AL24+AL25</f>
        <v>125341.359509077</v>
      </c>
      <c r="AM26" s="41" t="n">
        <f aca="false">AM21+AM22+AM23+AM24+AM25</f>
        <v>126525.039403218</v>
      </c>
      <c r="AN26" s="41" t="n">
        <f aca="false">AN21+AN22+AN23+AN24+AN25</f>
        <v>127717.9923448</v>
      </c>
      <c r="AO26" s="41" t="n">
        <f aca="false">AO21+AO22+AO23+AO24+AO25</f>
        <v>132197.750386831</v>
      </c>
      <c r="AP26" s="41" t="n">
        <f aca="false">AP21+AP22+AP23+AP24+AP25</f>
        <v>138325.652346201</v>
      </c>
      <c r="AQ26" s="41" t="n">
        <f aca="false">AQ21+AQ22+AQ23+AQ24+AQ25</f>
        <v>146101.768817894</v>
      </c>
      <c r="AR26" s="41" t="n">
        <f aca="false">AR21+AR22+AR23+AR24+AR25</f>
        <v>153887.439673784</v>
      </c>
      <c r="AS26" s="41" t="n">
        <f aca="false">AS21+AS22+AS23+AS24+AS25</f>
        <v>160044.005319176</v>
      </c>
      <c r="AT26" s="41" t="n">
        <f aca="false">AT21+AT22+AT23+AT24+AT25</f>
        <v>164571.537949386</v>
      </c>
      <c r="AU26" s="41" t="n">
        <f aca="false">AU21+AU22+AU23+AU24+AU25</f>
        <v>169108.841553769</v>
      </c>
      <c r="AV26" s="41" t="n">
        <f aca="false">AV21+AV22+AV23+AV24+AV25</f>
        <v>173655.989414633</v>
      </c>
      <c r="AW26" s="41" t="n">
        <f aca="false">AW21+AW22+AW23+AW24+AW25</f>
        <v>176574.324111325</v>
      </c>
      <c r="AX26" s="41" t="n">
        <f aca="false">AX21+AX22+AX23+AX24+AX25</f>
        <v>179502.651282084</v>
      </c>
      <c r="AY26" s="41" t="n">
        <f aca="false">AY21+AY22+AY23+AY24+AY25</f>
        <v>182860.953597543</v>
      </c>
      <c r="AZ26" s="41" t="n">
        <f aca="false">AZ21+AZ22+AZ23+AZ24+AZ25</f>
        <v>186229.398836256</v>
      </c>
      <c r="BA26" s="41" t="n">
        <f aca="false">BA21+BA22+BA23+BA24+BA25</f>
        <v>193202.994493317</v>
      </c>
      <c r="BB26" s="41" t="n">
        <f aca="false">BB21+BB22+BB23+BB24+BB25</f>
        <v>201984.351499605</v>
      </c>
      <c r="BC26" s="41" t="n">
        <f aca="false">BC21+BC22+BC23+BC24+BC25</f>
        <v>212573.547072403</v>
      </c>
      <c r="BD26" s="41" t="n">
        <f aca="false">BD21+BD22+BD23+BD24+BD25</f>
        <v>223173.193296537</v>
      </c>
      <c r="BE26" s="41" t="n">
        <f aca="false">BE21+BE22+BE23+BE24+BE25</f>
        <v>231985.902840309</v>
      </c>
      <c r="BF26" s="41" t="n">
        <f aca="false">BF21+BF22+BF23+BF24+BF25</f>
        <v>239011.754671453</v>
      </c>
      <c r="BG26" s="41" t="n">
        <f aca="false">BG21+BG22+BG23+BG24+BG25</f>
        <v>246048.294061545</v>
      </c>
      <c r="BH26" s="41" t="n">
        <f aca="false">BH21+BH22+BH23+BH24+BH25</f>
        <v>253095.601167278</v>
      </c>
      <c r="BI26" s="41" t="n">
        <f aca="false">BI21+BI22+BI23+BI24+BI25</f>
        <v>258356.291034934</v>
      </c>
      <c r="BJ26" s="41" t="n">
        <f aca="false">BJ21+BJ22+BJ23+BJ24+BJ25</f>
        <v>263627.910739649</v>
      </c>
      <c r="BK26" s="42" t="n">
        <f aca="false">INDEX($C26:$BJ26,BK$5*12)</f>
        <v>50279.9454544477</v>
      </c>
      <c r="BL26" s="42" t="n">
        <f aca="false">INDEX($C26:$BJ26,BL$5*12)</f>
        <v>99815.1111071815</v>
      </c>
      <c r="BM26" s="42" t="n">
        <f aca="false">INDEX($C26:$BJ26,BM$5*12)</f>
        <v>125341.359509077</v>
      </c>
      <c r="BN26" s="42" t="n">
        <f aca="false">INDEX($C26:$BJ26,BN$5*12)</f>
        <v>179502.651282084</v>
      </c>
      <c r="BO26" s="42" t="n">
        <f aca="false">INDEX($C26:$BJ26,BO$5*12)</f>
        <v>263627.910739649</v>
      </c>
    </row>
    <row r="28" customFormat="false" ht="15" hidden="false" customHeight="false" outlineLevel="0" collapsed="false">
      <c r="A28" s="39" t="s">
        <v>399</v>
      </c>
      <c r="B28" s="40"/>
      <c r="C28" s="41" t="n">
        <f aca="false">C18+C26</f>
        <v>139872.320439015</v>
      </c>
      <c r="D28" s="41" t="n">
        <f aca="false">D18+D26</f>
        <v>132984.29087803</v>
      </c>
      <c r="E28" s="41" t="n">
        <f aca="false">E18+E26</f>
        <v>130077.861317044</v>
      </c>
      <c r="F28" s="41" t="n">
        <f aca="false">F18+F26</f>
        <v>130655.331756059</v>
      </c>
      <c r="G28" s="41" t="n">
        <f aca="false">G18+G26</f>
        <v>134965.552195074</v>
      </c>
      <c r="H28" s="41" t="n">
        <f aca="false">H18+H26</f>
        <v>142013.122634089</v>
      </c>
      <c r="I28" s="41" t="n">
        <f aca="false">I18+I26</f>
        <v>144539.693073104</v>
      </c>
      <c r="J28" s="41" t="n">
        <f aca="false">J18+J26</f>
        <v>145822.013512118</v>
      </c>
      <c r="K28" s="41" t="n">
        <f aca="false">K18+K26</f>
        <v>147104.333951133</v>
      </c>
      <c r="L28" s="41" t="n">
        <f aca="false">L18+L26</f>
        <v>148386.654390148</v>
      </c>
      <c r="M28" s="41" t="n">
        <f aca="false">M18+M26</f>
        <v>148424.724829163</v>
      </c>
      <c r="N28" s="41" t="n">
        <f aca="false">N18+N26</f>
        <v>148462.795268178</v>
      </c>
      <c r="O28" s="41" t="n">
        <f aca="false">O18+O26</f>
        <v>148786.722207192</v>
      </c>
      <c r="P28" s="41" t="n">
        <f aca="false">P18+P26</f>
        <v>149110.649146207</v>
      </c>
      <c r="Q28" s="41" t="n">
        <f aca="false">Q18+Q26</f>
        <v>152161.439585222</v>
      </c>
      <c r="R28" s="41" t="n">
        <f aca="false">R18+R26</f>
        <v>156575.661774237</v>
      </c>
      <c r="S28" s="41" t="n">
        <f aca="false">S18+S26</f>
        <v>162353.315713252</v>
      </c>
      <c r="T28" s="41" t="n">
        <f aca="false">T18+T26</f>
        <v>168130.969652267</v>
      </c>
      <c r="U28" s="41" t="n">
        <f aca="false">U18+U26</f>
        <v>172545.191841281</v>
      </c>
      <c r="V28" s="41" t="n">
        <f aca="false">V18+V26</f>
        <v>175595.982280296</v>
      </c>
      <c r="W28" s="41" t="n">
        <f aca="false">W18+W26</f>
        <v>178646.772719311</v>
      </c>
      <c r="X28" s="41" t="n">
        <f aca="false">X18+X26</f>
        <v>181697.563158326</v>
      </c>
      <c r="Y28" s="41" t="n">
        <f aca="false">Y18+Y26</f>
        <v>183384.921847341</v>
      </c>
      <c r="Z28" s="41" t="n">
        <f aca="false">Z18+Z26</f>
        <v>185072.280536355</v>
      </c>
      <c r="AA28" s="41" t="n">
        <f aca="false">AA18+AA26</f>
        <v>183032.26088827</v>
      </c>
      <c r="AB28" s="41" t="n">
        <f aca="false">AB18+AB26</f>
        <v>180992.241240185</v>
      </c>
      <c r="AC28" s="41" t="n">
        <f aca="false">AC18+AC26</f>
        <v>181941.2454102</v>
      </c>
      <c r="AD28" s="41" t="n">
        <f aca="false">AD18+AD26</f>
        <v>184384.761489265</v>
      </c>
      <c r="AE28" s="41" t="n">
        <f aca="false">AE18+AE26</f>
        <v>188322.789477379</v>
      </c>
      <c r="AF28" s="41" t="n">
        <f aca="false">AF18+AF26</f>
        <v>192260.817465494</v>
      </c>
      <c r="AG28" s="41" t="n">
        <f aca="false">AG18+AG26</f>
        <v>194704.333544559</v>
      </c>
      <c r="AH28" s="41" t="n">
        <f aca="false">AH18+AH26</f>
        <v>195653.337714574</v>
      </c>
      <c r="AI28" s="41" t="n">
        <f aca="false">AI18+AI26</f>
        <v>196602.341884589</v>
      </c>
      <c r="AJ28" s="41" t="n">
        <f aca="false">AJ18+AJ26</f>
        <v>197551.346054603</v>
      </c>
      <c r="AK28" s="41" t="n">
        <f aca="false">AK18+AK26</f>
        <v>197005.838315568</v>
      </c>
      <c r="AL28" s="41" t="n">
        <f aca="false">AL18+AL26</f>
        <v>196460.330576533</v>
      </c>
      <c r="AM28" s="41" t="n">
        <f aca="false">AM18+AM26</f>
        <v>196407.604145075</v>
      </c>
      <c r="AN28" s="41" t="n">
        <f aca="false">AN18+AN26</f>
        <v>196354.877713617</v>
      </c>
      <c r="AO28" s="41" t="n">
        <f aca="false">AO18+AO26</f>
        <v>199579.613787311</v>
      </c>
      <c r="AP28" s="41" t="n">
        <f aca="false">AP18+AP26</f>
        <v>204443.081113579</v>
      </c>
      <c r="AQ28" s="41" t="n">
        <f aca="false">AQ18+AQ26</f>
        <v>210945.279692424</v>
      </c>
      <c r="AR28" s="41" t="n">
        <f aca="false">AR18+AR26</f>
        <v>217447.478271268</v>
      </c>
      <c r="AS28" s="41" t="n">
        <f aca="false">AS18+AS26</f>
        <v>222310.945597537</v>
      </c>
      <c r="AT28" s="41" t="n">
        <f aca="false">AT18+AT26</f>
        <v>225535.68167123</v>
      </c>
      <c r="AU28" s="41" t="n">
        <f aca="false">AU18+AU26</f>
        <v>228760.417744924</v>
      </c>
      <c r="AV28" s="41" t="n">
        <f aca="false">AV18+AV26</f>
        <v>231985.153818617</v>
      </c>
      <c r="AW28" s="41" t="n">
        <f aca="false">AW18+AW26</f>
        <v>233571.158639735</v>
      </c>
      <c r="AX28" s="41" t="n">
        <f aca="false">AX18+AX26</f>
        <v>235157.163460852</v>
      </c>
      <c r="AY28" s="41" t="n">
        <f aca="false">AY18+AY26</f>
        <v>237163.076009048</v>
      </c>
      <c r="AZ28" s="41" t="n">
        <f aca="false">AZ18+AZ26</f>
        <v>239168.988557243</v>
      </c>
      <c r="BA28" s="41" t="n">
        <f aca="false">BA18+BA26</f>
        <v>244769.832528607</v>
      </c>
      <c r="BB28" s="41" t="n">
        <f aca="false">BB18+BB26</f>
        <v>252168.142211556</v>
      </c>
      <c r="BC28" s="41" t="n">
        <f aca="false">BC18+BC26</f>
        <v>261363.917606088</v>
      </c>
      <c r="BD28" s="41" t="n">
        <f aca="false">BD18+BD26</f>
        <v>270559.693000621</v>
      </c>
      <c r="BE28" s="41" t="n">
        <f aca="false">BE18+BE26</f>
        <v>277958.00268357</v>
      </c>
      <c r="BF28" s="41" t="n">
        <f aca="false">BF18+BF26</f>
        <v>283558.846654934</v>
      </c>
      <c r="BG28" s="41" t="n">
        <f aca="false">BG18+BG26</f>
        <v>289159.690626298</v>
      </c>
      <c r="BH28" s="41" t="n">
        <f aca="false">BH18+BH26</f>
        <v>294760.534597662</v>
      </c>
      <c r="BI28" s="41" t="n">
        <f aca="false">BI18+BI26</f>
        <v>298563.912857441</v>
      </c>
      <c r="BJ28" s="41" t="n">
        <f aca="false">BJ18+BJ26</f>
        <v>302367.291117221</v>
      </c>
      <c r="BK28" s="42" t="n">
        <f aca="false">INDEX($C28:$BJ28,BK$5*12)</f>
        <v>148462.795268178</v>
      </c>
      <c r="BL28" s="42" t="n">
        <f aca="false">INDEX($C28:$BJ28,BL$5*12)</f>
        <v>185072.280536355</v>
      </c>
      <c r="BM28" s="42" t="n">
        <f aca="false">INDEX($C28:$BJ28,BM$5*12)</f>
        <v>196460.330576533</v>
      </c>
      <c r="BN28" s="42" t="n">
        <f aca="false">INDEX($C28:$BJ28,BN$5*12)</f>
        <v>235157.163460852</v>
      </c>
      <c r="BO28" s="42" t="n">
        <f aca="false">INDEX($C28:$BJ28,BO$5*12)</f>
        <v>302367.291117221</v>
      </c>
    </row>
    <row r="29" customFormat="false" ht="15" hidden="false" customHeight="false" outlineLevel="0" collapsed="false">
      <c r="A29" s="18" t="s">
        <v>400</v>
      </c>
      <c r="B29" s="2"/>
      <c r="C29" s="37" t="n">
        <f aca="false">C14-C28</f>
        <v>0</v>
      </c>
      <c r="D29" s="37" t="n">
        <f aca="false">D14-D28</f>
        <v>0</v>
      </c>
      <c r="E29" s="37" t="n">
        <f aca="false">E14-E28</f>
        <v>0</v>
      </c>
      <c r="F29" s="37" t="n">
        <f aca="false">F14-F28</f>
        <v>0</v>
      </c>
      <c r="G29" s="37" t="n">
        <f aca="false">G14-G28</f>
        <v>0</v>
      </c>
      <c r="H29" s="37" t="n">
        <f aca="false">H14-H28</f>
        <v>0</v>
      </c>
      <c r="I29" s="37" t="n">
        <f aca="false">I14-I28</f>
        <v>0</v>
      </c>
      <c r="J29" s="37" t="n">
        <f aca="false">J14-J28</f>
        <v>0</v>
      </c>
      <c r="K29" s="37" t="n">
        <f aca="false">K14-K28</f>
        <v>0</v>
      </c>
      <c r="L29" s="37" t="n">
        <f aca="false">L14-L28</f>
        <v>0</v>
      </c>
      <c r="M29" s="37" t="n">
        <f aca="false">M14-M28</f>
        <v>0</v>
      </c>
      <c r="N29" s="37" t="n">
        <f aca="false">N14-N28</f>
        <v>0</v>
      </c>
      <c r="O29" s="37" t="n">
        <f aca="false">O14-O28</f>
        <v>0</v>
      </c>
      <c r="P29" s="37" t="n">
        <f aca="false">P14-P28</f>
        <v>0</v>
      </c>
      <c r="Q29" s="37" t="n">
        <f aca="false">Q14-Q28</f>
        <v>0</v>
      </c>
      <c r="R29" s="37" t="n">
        <f aca="false">R14-R28</f>
        <v>0</v>
      </c>
      <c r="S29" s="37" t="n">
        <f aca="false">S14-S28</f>
        <v>0</v>
      </c>
      <c r="T29" s="37" t="n">
        <f aca="false">T14-T28</f>
        <v>0</v>
      </c>
      <c r="U29" s="37" t="n">
        <f aca="false">U14-U28</f>
        <v>0</v>
      </c>
      <c r="V29" s="37" t="n">
        <f aca="false">V14-V28</f>
        <v>0</v>
      </c>
      <c r="W29" s="37" t="n">
        <f aca="false">W14-W28</f>
        <v>0</v>
      </c>
      <c r="X29" s="37" t="n">
        <f aca="false">X14-X28</f>
        <v>0</v>
      </c>
      <c r="Y29" s="37" t="n">
        <f aca="false">Y14-Y28</f>
        <v>0</v>
      </c>
      <c r="Z29" s="37" t="n">
        <f aca="false">Z14-Z28</f>
        <v>0</v>
      </c>
      <c r="AA29" s="37" t="n">
        <f aca="false">AA14-AA28</f>
        <v>0</v>
      </c>
      <c r="AB29" s="37" t="n">
        <f aca="false">AB14-AB28</f>
        <v>0</v>
      </c>
      <c r="AC29" s="37" t="n">
        <f aca="false">AC14-AC28</f>
        <v>0</v>
      </c>
      <c r="AD29" s="37" t="n">
        <f aca="false">AD14-AD28</f>
        <v>0</v>
      </c>
      <c r="AE29" s="37" t="n">
        <f aca="false">AE14-AE28</f>
        <v>0</v>
      </c>
      <c r="AF29" s="37" t="n">
        <f aca="false">AF14-AF28</f>
        <v>0</v>
      </c>
      <c r="AG29" s="37" t="n">
        <f aca="false">AG14-AG28</f>
        <v>0</v>
      </c>
      <c r="AH29" s="37" t="n">
        <f aca="false">AH14-AH28</f>
        <v>0</v>
      </c>
      <c r="AI29" s="37" t="n">
        <f aca="false">AI14-AI28</f>
        <v>0</v>
      </c>
      <c r="AJ29" s="37" t="n">
        <f aca="false">AJ14-AJ28</f>
        <v>0</v>
      </c>
      <c r="AK29" s="37" t="n">
        <f aca="false">AK14-AK28</f>
        <v>0</v>
      </c>
      <c r="AL29" s="37" t="n">
        <f aca="false">AL14-AL28</f>
        <v>0</v>
      </c>
      <c r="AM29" s="37" t="n">
        <f aca="false">AM14-AM28</f>
        <v>0</v>
      </c>
      <c r="AN29" s="37" t="n">
        <f aca="false">AN14-AN28</f>
        <v>0</v>
      </c>
      <c r="AO29" s="37" t="n">
        <f aca="false">AO14-AO28</f>
        <v>0</v>
      </c>
      <c r="AP29" s="37" t="n">
        <f aca="false">AP14-AP28</f>
        <v>0</v>
      </c>
      <c r="AQ29" s="37" t="n">
        <f aca="false">AQ14-AQ28</f>
        <v>0</v>
      </c>
      <c r="AR29" s="37" t="n">
        <f aca="false">AR14-AR28</f>
        <v>0</v>
      </c>
      <c r="AS29" s="37" t="n">
        <f aca="false">AS14-AS28</f>
        <v>0</v>
      </c>
      <c r="AT29" s="37" t="n">
        <f aca="false">AT14-AT28</f>
        <v>0</v>
      </c>
      <c r="AU29" s="37" t="n">
        <f aca="false">AU14-AU28</f>
        <v>0</v>
      </c>
      <c r="AV29" s="37" t="n">
        <f aca="false">AV14-AV28</f>
        <v>0</v>
      </c>
      <c r="AW29" s="37" t="n">
        <f aca="false">AW14-AW28</f>
        <v>0</v>
      </c>
      <c r="AX29" s="37" t="n">
        <f aca="false">AX14-AX28</f>
        <v>0</v>
      </c>
      <c r="AY29" s="37" t="n">
        <f aca="false">AY14-AY28</f>
        <v>0</v>
      </c>
      <c r="AZ29" s="37" t="n">
        <f aca="false">AZ14-AZ28</f>
        <v>0</v>
      </c>
      <c r="BA29" s="37" t="n">
        <f aca="false">BA14-BA28</f>
        <v>0</v>
      </c>
      <c r="BB29" s="37" t="n">
        <f aca="false">BB14-BB28</f>
        <v>0</v>
      </c>
      <c r="BC29" s="37" t="n">
        <f aca="false">BC14-BC28</f>
        <v>0</v>
      </c>
      <c r="BD29" s="37" t="n">
        <f aca="false">BD14-BD28</f>
        <v>0</v>
      </c>
      <c r="BE29" s="37" t="n">
        <f aca="false">BE14-BE28</f>
        <v>0</v>
      </c>
      <c r="BF29" s="37" t="n">
        <f aca="false">BF14-BF28</f>
        <v>0</v>
      </c>
      <c r="BG29" s="37" t="n">
        <f aca="false">BG14-BG28</f>
        <v>0</v>
      </c>
      <c r="BH29" s="37" t="n">
        <f aca="false">BH14-BH28</f>
        <v>0</v>
      </c>
      <c r="BI29" s="37" t="n">
        <f aca="false">BI14-BI28</f>
        <v>0</v>
      </c>
      <c r="BJ29" s="37" t="n">
        <f aca="false">BJ14-BJ28</f>
        <v>0</v>
      </c>
      <c r="BK29" s="38" t="n">
        <f aca="false">INDEX($C29:$BJ29,BK$5*12)</f>
        <v>0</v>
      </c>
      <c r="BL29" s="38" t="n">
        <f aca="false">INDEX($C29:$BJ29,BL$5*12)</f>
        <v>0</v>
      </c>
      <c r="BM29" s="38" t="n">
        <f aca="false">INDEX($C29:$BJ29,BM$5*12)</f>
        <v>0</v>
      </c>
      <c r="BN29" s="38" t="n">
        <f aca="false">INDEX($C29:$BJ29,BN$5*12)</f>
        <v>0</v>
      </c>
      <c r="BO29" s="38" t="n">
        <f aca="false">INDEX($C29:$BJ29,BO$5*12)</f>
        <v>0</v>
      </c>
    </row>
    <row r="30" customFormat="false" ht="15" hidden="false" customHeight="false" outlineLevel="0" collapsed="false">
      <c r="A30" s="18" t="s">
        <v>401</v>
      </c>
      <c r="B30" s="2"/>
      <c r="C30" s="48" t="str">
        <f aca="false">IF(ABS(C29)&lt;1,"OK","CHECK")</f>
        <v>OK</v>
      </c>
      <c r="D30" s="48" t="str">
        <f aca="false">IF(ABS(D29)&lt;1,"OK","CHECK")</f>
        <v>OK</v>
      </c>
      <c r="E30" s="48" t="str">
        <f aca="false">IF(ABS(E29)&lt;1,"OK","CHECK")</f>
        <v>OK</v>
      </c>
      <c r="F30" s="48" t="str">
        <f aca="false">IF(ABS(F29)&lt;1,"OK","CHECK")</f>
        <v>OK</v>
      </c>
      <c r="G30" s="48" t="str">
        <f aca="false">IF(ABS(G29)&lt;1,"OK","CHECK")</f>
        <v>OK</v>
      </c>
      <c r="H30" s="48" t="str">
        <f aca="false">IF(ABS(H29)&lt;1,"OK","CHECK")</f>
        <v>OK</v>
      </c>
      <c r="I30" s="48" t="str">
        <f aca="false">IF(ABS(I29)&lt;1,"OK","CHECK")</f>
        <v>OK</v>
      </c>
      <c r="J30" s="48" t="str">
        <f aca="false">IF(ABS(J29)&lt;1,"OK","CHECK")</f>
        <v>OK</v>
      </c>
      <c r="K30" s="48" t="str">
        <f aca="false">IF(ABS(K29)&lt;1,"OK","CHECK")</f>
        <v>OK</v>
      </c>
      <c r="L30" s="48" t="str">
        <f aca="false">IF(ABS(L29)&lt;1,"OK","CHECK")</f>
        <v>OK</v>
      </c>
      <c r="M30" s="48" t="str">
        <f aca="false">IF(ABS(M29)&lt;1,"OK","CHECK")</f>
        <v>OK</v>
      </c>
      <c r="N30" s="48" t="str">
        <f aca="false">IF(ABS(N29)&lt;1,"OK","CHECK")</f>
        <v>OK</v>
      </c>
      <c r="O30" s="48" t="str">
        <f aca="false">IF(ABS(O29)&lt;1,"OK","CHECK")</f>
        <v>OK</v>
      </c>
      <c r="P30" s="48" t="str">
        <f aca="false">IF(ABS(P29)&lt;1,"OK","CHECK")</f>
        <v>OK</v>
      </c>
      <c r="Q30" s="48" t="str">
        <f aca="false">IF(ABS(Q29)&lt;1,"OK","CHECK")</f>
        <v>OK</v>
      </c>
      <c r="R30" s="48" t="str">
        <f aca="false">IF(ABS(R29)&lt;1,"OK","CHECK")</f>
        <v>OK</v>
      </c>
      <c r="S30" s="48" t="str">
        <f aca="false">IF(ABS(S29)&lt;1,"OK","CHECK")</f>
        <v>OK</v>
      </c>
      <c r="T30" s="48" t="str">
        <f aca="false">IF(ABS(T29)&lt;1,"OK","CHECK")</f>
        <v>OK</v>
      </c>
      <c r="U30" s="48" t="str">
        <f aca="false">IF(ABS(U29)&lt;1,"OK","CHECK")</f>
        <v>OK</v>
      </c>
      <c r="V30" s="48" t="str">
        <f aca="false">IF(ABS(V29)&lt;1,"OK","CHECK")</f>
        <v>OK</v>
      </c>
      <c r="W30" s="48" t="str">
        <f aca="false">IF(ABS(W29)&lt;1,"OK","CHECK")</f>
        <v>OK</v>
      </c>
      <c r="X30" s="48" t="str">
        <f aca="false">IF(ABS(X29)&lt;1,"OK","CHECK")</f>
        <v>OK</v>
      </c>
      <c r="Y30" s="48" t="str">
        <f aca="false">IF(ABS(Y29)&lt;1,"OK","CHECK")</f>
        <v>OK</v>
      </c>
      <c r="Z30" s="48" t="str">
        <f aca="false">IF(ABS(Z29)&lt;1,"OK","CHECK")</f>
        <v>OK</v>
      </c>
      <c r="AA30" s="48" t="str">
        <f aca="false">IF(ABS(AA29)&lt;1,"OK","CHECK")</f>
        <v>OK</v>
      </c>
      <c r="AB30" s="48" t="str">
        <f aca="false">IF(ABS(AB29)&lt;1,"OK","CHECK")</f>
        <v>OK</v>
      </c>
      <c r="AC30" s="48" t="str">
        <f aca="false">IF(ABS(AC29)&lt;1,"OK","CHECK")</f>
        <v>OK</v>
      </c>
      <c r="AD30" s="48" t="str">
        <f aca="false">IF(ABS(AD29)&lt;1,"OK","CHECK")</f>
        <v>OK</v>
      </c>
      <c r="AE30" s="48" t="str">
        <f aca="false">IF(ABS(AE29)&lt;1,"OK","CHECK")</f>
        <v>OK</v>
      </c>
      <c r="AF30" s="48" t="str">
        <f aca="false">IF(ABS(AF29)&lt;1,"OK","CHECK")</f>
        <v>OK</v>
      </c>
      <c r="AG30" s="48" t="str">
        <f aca="false">IF(ABS(AG29)&lt;1,"OK","CHECK")</f>
        <v>OK</v>
      </c>
      <c r="AH30" s="48" t="str">
        <f aca="false">IF(ABS(AH29)&lt;1,"OK","CHECK")</f>
        <v>OK</v>
      </c>
      <c r="AI30" s="48" t="str">
        <f aca="false">IF(ABS(AI29)&lt;1,"OK","CHECK")</f>
        <v>OK</v>
      </c>
      <c r="AJ30" s="48" t="str">
        <f aca="false">IF(ABS(AJ29)&lt;1,"OK","CHECK")</f>
        <v>OK</v>
      </c>
      <c r="AK30" s="48" t="str">
        <f aca="false">IF(ABS(AK29)&lt;1,"OK","CHECK")</f>
        <v>OK</v>
      </c>
      <c r="AL30" s="48" t="str">
        <f aca="false">IF(ABS(AL29)&lt;1,"OK","CHECK")</f>
        <v>OK</v>
      </c>
      <c r="AM30" s="48" t="str">
        <f aca="false">IF(ABS(AM29)&lt;1,"OK","CHECK")</f>
        <v>OK</v>
      </c>
      <c r="AN30" s="48" t="str">
        <f aca="false">IF(ABS(AN29)&lt;1,"OK","CHECK")</f>
        <v>OK</v>
      </c>
      <c r="AO30" s="48" t="str">
        <f aca="false">IF(ABS(AO29)&lt;1,"OK","CHECK")</f>
        <v>OK</v>
      </c>
      <c r="AP30" s="48" t="str">
        <f aca="false">IF(ABS(AP29)&lt;1,"OK","CHECK")</f>
        <v>OK</v>
      </c>
      <c r="AQ30" s="48" t="str">
        <f aca="false">IF(ABS(AQ29)&lt;1,"OK","CHECK")</f>
        <v>OK</v>
      </c>
      <c r="AR30" s="48" t="str">
        <f aca="false">IF(ABS(AR29)&lt;1,"OK","CHECK")</f>
        <v>OK</v>
      </c>
      <c r="AS30" s="48" t="str">
        <f aca="false">IF(ABS(AS29)&lt;1,"OK","CHECK")</f>
        <v>OK</v>
      </c>
      <c r="AT30" s="48" t="str">
        <f aca="false">IF(ABS(AT29)&lt;1,"OK","CHECK")</f>
        <v>OK</v>
      </c>
      <c r="AU30" s="48" t="str">
        <f aca="false">IF(ABS(AU29)&lt;1,"OK","CHECK")</f>
        <v>OK</v>
      </c>
      <c r="AV30" s="48" t="str">
        <f aca="false">IF(ABS(AV29)&lt;1,"OK","CHECK")</f>
        <v>OK</v>
      </c>
      <c r="AW30" s="48" t="str">
        <f aca="false">IF(ABS(AW29)&lt;1,"OK","CHECK")</f>
        <v>OK</v>
      </c>
      <c r="AX30" s="48" t="str">
        <f aca="false">IF(ABS(AX29)&lt;1,"OK","CHECK")</f>
        <v>OK</v>
      </c>
      <c r="AY30" s="48" t="str">
        <f aca="false">IF(ABS(AY29)&lt;1,"OK","CHECK")</f>
        <v>OK</v>
      </c>
      <c r="AZ30" s="48" t="str">
        <f aca="false">IF(ABS(AZ29)&lt;1,"OK","CHECK")</f>
        <v>OK</v>
      </c>
      <c r="BA30" s="48" t="str">
        <f aca="false">IF(ABS(BA29)&lt;1,"OK","CHECK")</f>
        <v>OK</v>
      </c>
      <c r="BB30" s="48" t="str">
        <f aca="false">IF(ABS(BB29)&lt;1,"OK","CHECK")</f>
        <v>OK</v>
      </c>
      <c r="BC30" s="48" t="str">
        <f aca="false">IF(ABS(BC29)&lt;1,"OK","CHECK")</f>
        <v>OK</v>
      </c>
      <c r="BD30" s="48" t="str">
        <f aca="false">IF(ABS(BD29)&lt;1,"OK","CHECK")</f>
        <v>OK</v>
      </c>
      <c r="BE30" s="48" t="str">
        <f aca="false">IF(ABS(BE29)&lt;1,"OK","CHECK")</f>
        <v>OK</v>
      </c>
      <c r="BF30" s="48" t="str">
        <f aca="false">IF(ABS(BF29)&lt;1,"OK","CHECK")</f>
        <v>OK</v>
      </c>
      <c r="BG30" s="48" t="str">
        <f aca="false">IF(ABS(BG29)&lt;1,"OK","CHECK")</f>
        <v>OK</v>
      </c>
      <c r="BH30" s="48" t="str">
        <f aca="false">IF(ABS(BH29)&lt;1,"OK","CHECK")</f>
        <v>OK</v>
      </c>
      <c r="BI30" s="48" t="str">
        <f aca="false">IF(ABS(BI29)&lt;1,"OK","CHECK")</f>
        <v>OK</v>
      </c>
      <c r="BJ30" s="48" t="str">
        <f aca="false">IF(ABS(BJ29)&lt;1,"OK","CHECK")</f>
        <v>OK</v>
      </c>
      <c r="BK30" s="58" t="str">
        <f aca="false">IF(ABS(BK29)&lt;1,"OK","CHECK")</f>
        <v>OK</v>
      </c>
      <c r="BL30" s="58" t="str">
        <f aca="false">IF(ABS(BL29)&lt;1,"OK","CHECK")</f>
        <v>OK</v>
      </c>
      <c r="BM30" s="58" t="str">
        <f aca="false">IF(ABS(BM29)&lt;1,"OK","CHECK")</f>
        <v>OK</v>
      </c>
      <c r="BN30" s="58" t="str">
        <f aca="false">IF(ABS(BN29)&lt;1,"OK","CHECK")</f>
        <v>OK</v>
      </c>
      <c r="BO30" s="58" t="str">
        <f aca="false">IF(ABS(BO29)&lt;1,"OK","CHECK")</f>
        <v>OK</v>
      </c>
    </row>
  </sheetData>
  <printOptions headings="false" gridLines="false" gridLinesSet="true" horizontalCentered="false" verticalCentered="false"/>
  <pageMargins left="0.75" right="0.75" top="1" bottom="1" header="0.511811023622047" footer="0.511811023622047"/>
  <pageSetup paperSize="1" scale="100" fitToWidth="6" fitToHeight="1" pageOrder="downThenOver" orientation="landscape"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H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50"/>
    <col collapsed="false" customWidth="true" hidden="false" outlineLevel="0" max="7" min="3" style="0" width="14"/>
    <col collapsed="false" customWidth="true" hidden="false" outlineLevel="0" max="8" min="8" style="0" width="75"/>
  </cols>
  <sheetData>
    <row r="1" customFormat="false" ht="17.35" hidden="false" customHeight="false" outlineLevel="0" collapsed="false">
      <c r="B1" s="1" t="s">
        <v>402</v>
      </c>
    </row>
    <row r="2" customFormat="false" ht="15" hidden="false" customHeight="false" outlineLevel="0" collapsed="false">
      <c r="B2" s="2" t="s">
        <v>403</v>
      </c>
    </row>
    <row r="4" customFormat="false" ht="15" hidden="false" customHeight="false" outlineLevel="0" collapsed="false">
      <c r="B4" s="5" t="s">
        <v>404</v>
      </c>
      <c r="C4" s="5" t="s">
        <v>54</v>
      </c>
      <c r="D4" s="5" t="s">
        <v>55</v>
      </c>
      <c r="E4" s="5" t="s">
        <v>56</v>
      </c>
      <c r="F4" s="5" t="s">
        <v>220</v>
      </c>
      <c r="G4" s="5" t="s">
        <v>221</v>
      </c>
      <c r="H4" s="5" t="s">
        <v>405</v>
      </c>
    </row>
    <row r="5" customFormat="false" ht="15" hidden="false" customHeight="false" outlineLevel="0" collapsed="false">
      <c r="B5" s="3" t="s">
        <v>406</v>
      </c>
      <c r="C5" s="59" t="n">
        <f aca="false">'P&amp;L'!BK7</f>
        <v>412230</v>
      </c>
      <c r="D5" s="59" t="n">
        <f aca="false">'P&amp;L'!BL7</f>
        <v>511308</v>
      </c>
      <c r="E5" s="59" t="n">
        <f aca="false">'P&amp;L'!BM7</f>
        <v>558800.1288</v>
      </c>
      <c r="F5" s="59" t="n">
        <f aca="false">'P&amp;L'!BN7</f>
        <v>610899.75062064</v>
      </c>
      <c r="G5" s="59" t="n">
        <f aca="false">'P&amp;L'!BO7</f>
        <v>668075.135367263</v>
      </c>
      <c r="H5" s="60" t="s">
        <v>407</v>
      </c>
    </row>
    <row r="6" customFormat="false" ht="15" hidden="false" customHeight="false" outlineLevel="0" collapsed="false">
      <c r="B6" s="9" t="s">
        <v>408</v>
      </c>
      <c r="C6" s="61" t="n">
        <f aca="false">0</f>
        <v>0</v>
      </c>
      <c r="D6" s="61" t="n">
        <f aca="false">IF('P&amp;L'!BK7=0,0,'P&amp;L'!BL7/'P&amp;L'!BK7-1)</f>
        <v>0.240346408558329</v>
      </c>
      <c r="E6" s="61" t="n">
        <f aca="false">IF('P&amp;L'!BL7=0,0,'P&amp;L'!BM7/'P&amp;L'!BL7-1)</f>
        <v>0.0928836020559036</v>
      </c>
      <c r="F6" s="61" t="n">
        <f aca="false">IF('P&amp;L'!BM7=0,0,'P&amp;L'!BN7/'P&amp;L'!BM7-1)</f>
        <v>0.0932348063922637</v>
      </c>
      <c r="G6" s="61" t="n">
        <f aca="false">IF('P&amp;L'!BN7=0,0,'P&amp;L'!BO7/'P&amp;L'!BN7-1)</f>
        <v>0.0935920905001777</v>
      </c>
      <c r="H6" s="60" t="s">
        <v>409</v>
      </c>
    </row>
    <row r="7" customFormat="false" ht="15" hidden="false" customHeight="false" outlineLevel="0" collapsed="false">
      <c r="B7" s="9" t="s">
        <v>283</v>
      </c>
      <c r="C7" s="61" t="n">
        <f aca="false">'P&amp;L'!BK20</f>
        <v>0.698076923076923</v>
      </c>
      <c r="D7" s="61" t="n">
        <f aca="false">'P&amp;L'!BL20</f>
        <v>0.699973597127367</v>
      </c>
      <c r="E7" s="61" t="n">
        <f aca="false">'P&amp;L'!BM20</f>
        <v>0.701880414276669</v>
      </c>
      <c r="F7" s="61" t="n">
        <f aca="false">'P&amp;L'!BN20</f>
        <v>0.703797120916444</v>
      </c>
      <c r="G7" s="61" t="n">
        <f aca="false">'P&amp;L'!BO20</f>
        <v>0.705723434300696</v>
      </c>
      <c r="H7" s="60" t="s">
        <v>410</v>
      </c>
    </row>
    <row r="8" customFormat="false" ht="15" hidden="false" customHeight="false" outlineLevel="0" collapsed="false">
      <c r="B8" s="9" t="s">
        <v>245</v>
      </c>
      <c r="C8" s="61" t="n">
        <f aca="false">'P&amp;L'!BK21</f>
        <v>0.412404482934284</v>
      </c>
      <c r="D8" s="61" t="n">
        <f aca="false">'P&amp;L'!BL21</f>
        <v>0.382071041329297</v>
      </c>
      <c r="E8" s="61" t="n">
        <f aca="false">'P&amp;L'!BM21</f>
        <v>0.447913091819602</v>
      </c>
      <c r="F8" s="61" t="n">
        <f aca="false">'P&amp;L'!BN21</f>
        <v>0.422004936063711</v>
      </c>
      <c r="G8" s="61" t="n">
        <f aca="false">'P&amp;L'!BO21</f>
        <v>0.397465460770495</v>
      </c>
      <c r="H8" s="60" t="s">
        <v>411</v>
      </c>
    </row>
    <row r="9" customFormat="false" ht="15" hidden="false" customHeight="false" outlineLevel="0" collapsed="false">
      <c r="B9" s="9" t="s">
        <v>267</v>
      </c>
      <c r="C9" s="61" t="n">
        <f aca="false">'P&amp;L'!BK22</f>
        <v>0.196816825558547</v>
      </c>
      <c r="D9" s="61" t="n">
        <f aca="false">'P&amp;L'!BL22</f>
        <v>0.173614494590345</v>
      </c>
      <c r="E9" s="61" t="n">
        <f aca="false">'P&amp;L'!BM22</f>
        <v>0.167077212255646</v>
      </c>
      <c r="F9" s="61" t="n">
        <f aca="false">'P&amp;L'!BN22</f>
        <v>0.160883660105259</v>
      </c>
      <c r="G9" s="61" t="n">
        <f aca="false">'P&amp;L'!BO22</f>
        <v>0.155017301982214</v>
      </c>
      <c r="H9" s="60" t="s">
        <v>412</v>
      </c>
    </row>
    <row r="10" customFormat="false" ht="15" hidden="false" customHeight="false" outlineLevel="0" collapsed="false">
      <c r="B10" s="9" t="s">
        <v>413</v>
      </c>
      <c r="C10" s="62" t="n">
        <f aca="false">'P&amp;L'!BK12</f>
        <v>36628.95</v>
      </c>
      <c r="D10" s="62" t="n">
        <f aca="false">'P&amp;L'!BL12</f>
        <v>73775.64</v>
      </c>
      <c r="E10" s="62" t="n">
        <f aca="false">'P&amp;L'!BM12</f>
        <v>48554.204772</v>
      </c>
      <c r="F10" s="62" t="n">
        <f aca="false">'P&amp;L'!BN12</f>
        <v>73862.9876161417</v>
      </c>
      <c r="G10" s="62" t="n">
        <f aca="false">'P&amp;L'!BO12</f>
        <v>102376.282388191</v>
      </c>
      <c r="H10" s="60" t="s">
        <v>414</v>
      </c>
    </row>
    <row r="11" customFormat="false" ht="15" hidden="false" customHeight="false" outlineLevel="0" collapsed="false">
      <c r="B11" s="9" t="s">
        <v>286</v>
      </c>
      <c r="C11" s="61" t="n">
        <f aca="false">'P&amp;L'!BK23</f>
        <v>0.0888556145840914</v>
      </c>
      <c r="D11" s="61" t="n">
        <f aca="false">'P&amp;L'!BL23</f>
        <v>0.144288061207726</v>
      </c>
      <c r="E11" s="61" t="n">
        <f aca="false">'P&amp;L'!BM23</f>
        <v>0.0868901102014206</v>
      </c>
      <c r="F11" s="61" t="n">
        <f aca="false">'P&amp;L'!BN23</f>
        <v>0.120908524747474</v>
      </c>
      <c r="G11" s="61" t="n">
        <f aca="false">'P&amp;L'!BO23</f>
        <v>0.153240671547986</v>
      </c>
      <c r="H11" s="60" t="s">
        <v>415</v>
      </c>
    </row>
    <row r="12" customFormat="false" ht="15" hidden="false" customHeight="false" outlineLevel="0" collapsed="false">
      <c r="B12" s="3" t="s">
        <v>58</v>
      </c>
      <c r="C12" s="59" t="n">
        <f aca="false">'P&amp;L'!BK17</f>
        <v>11279.9454544477</v>
      </c>
      <c r="D12" s="59" t="n">
        <f aca="false">'P&amp;L'!BL17</f>
        <v>49535.1656527338</v>
      </c>
      <c r="E12" s="59" t="n">
        <f aca="false">'P&amp;L'!BM17</f>
        <v>25526.2484018957</v>
      </c>
      <c r="F12" s="59" t="n">
        <f aca="false">'P&amp;L'!BN17</f>
        <v>54161.2917730071</v>
      </c>
      <c r="G12" s="59" t="n">
        <f aca="false">'P&amp;L'!BO17</f>
        <v>84125.2594575647</v>
      </c>
      <c r="H12" s="60" t="s">
        <v>416</v>
      </c>
    </row>
    <row r="13" customFormat="false" ht="15" hidden="false" customHeight="false" outlineLevel="0" collapsed="false">
      <c r="B13" s="9" t="s">
        <v>287</v>
      </c>
      <c r="C13" s="61" t="n">
        <f aca="false">'P&amp;L'!BK24</f>
        <v>0.0273632327934593</v>
      </c>
      <c r="D13" s="61" t="n">
        <f aca="false">'P&amp;L'!BL24</f>
        <v>0.0968793088563719</v>
      </c>
      <c r="E13" s="61" t="n">
        <f aca="false">'P&amp;L'!BM24</f>
        <v>0.0456804626310882</v>
      </c>
      <c r="F13" s="61" t="n">
        <f aca="false">'P&amp;L'!BN24</f>
        <v>0.088658231924276</v>
      </c>
      <c r="G13" s="61" t="n">
        <f aca="false">'P&amp;L'!BO24</f>
        <v>0.125921853701857</v>
      </c>
      <c r="H13" s="60" t="s">
        <v>417</v>
      </c>
    </row>
    <row r="14" customFormat="false" ht="15" hidden="false" customHeight="false" outlineLevel="0" collapsed="false">
      <c r="B14" s="9" t="s">
        <v>418</v>
      </c>
      <c r="C14" s="62" t="n">
        <f aca="false">Loan!$G$4</f>
        <v>21237.5833032509</v>
      </c>
      <c r="D14" s="62" t="n">
        <f aca="false">Loan!$G$5</f>
        <v>21237.5833032509</v>
      </c>
      <c r="E14" s="62" t="n">
        <f aca="false">Loan!$G$6</f>
        <v>21237.5833032509</v>
      </c>
      <c r="F14" s="62" t="n">
        <f aca="false">Loan!$G$7</f>
        <v>21237.5833032509</v>
      </c>
      <c r="G14" s="62" t="n">
        <f aca="false">Loan!$G$8</f>
        <v>21237.5833032509</v>
      </c>
      <c r="H14" s="60" t="s">
        <v>419</v>
      </c>
    </row>
    <row r="15" customFormat="false" ht="35.05" hidden="false" customHeight="false" outlineLevel="0" collapsed="false">
      <c r="B15" s="3" t="s">
        <v>420</v>
      </c>
      <c r="C15" s="63" t="n">
        <f aca="false">IF(Loan!$G$4=0,"n/a",('P&amp;L'!BK12-'P&amp;L'!BK16)/Loan!$G$4)</f>
        <v>1.72472307592517</v>
      </c>
      <c r="D15" s="63" t="n">
        <f aca="false">IF(Loan!$G$5=0,"n/a",('P&amp;L'!BL12-'P&amp;L'!BL16)/Loan!$G$5)</f>
        <v>3.47382463185945</v>
      </c>
      <c r="E15" s="63" t="n">
        <f aca="false">IF(Loan!$G$6=0,"n/a",('P&amp;L'!BM12-'P&amp;L'!BM16)/Loan!$G$6)</f>
        <v>2.28623963841346</v>
      </c>
      <c r="F15" s="63" t="n">
        <f aca="false">IF(Loan!$G$7=0,"n/a",('P&amp;L'!BN12-'P&amp;L'!BN16)/Loan!$G$7)</f>
        <v>3.47793751113081</v>
      </c>
      <c r="G15" s="63" t="n">
        <f aca="false">IF(Loan!$G$8=0,"n/a",('P&amp;L'!BO12-'P&amp;L'!BO16)/Loan!$G$8)</f>
        <v>4.8205241117298</v>
      </c>
      <c r="H15" s="60" t="s">
        <v>421</v>
      </c>
    </row>
    <row r="16" customFormat="false" ht="23.85" hidden="false" customHeight="false" outlineLevel="0" collapsed="false">
      <c r="B16" s="3" t="s">
        <v>422</v>
      </c>
      <c r="C16" s="63" t="n">
        <f aca="false">IF(Loan!$G$4=0,"n/a",('P&amp;L'!BK12-'P&amp;L'!BK16+'Cash Flow'!BK11)/Loan!$G$4)</f>
        <v>1.72472307592517</v>
      </c>
      <c r="D16" s="63" t="n">
        <f aca="false">IF(Loan!$G$5=0,"n/a",('P&amp;L'!BL12-'P&amp;L'!BL16+'Cash Flow'!BL11)/Loan!$G$5)</f>
        <v>3.47382463185945</v>
      </c>
      <c r="E16" s="63" t="n">
        <f aca="false">IF(Loan!$G$6=0,"n/a",('P&amp;L'!BM12-'P&amp;L'!BM16+'Cash Flow'!BM11)/Loan!$G$6)</f>
        <v>2.28623963841346</v>
      </c>
      <c r="F16" s="63" t="n">
        <f aca="false">IF(Loan!$G$7=0,"n/a",('P&amp;L'!BN12-'P&amp;L'!BN16+'Cash Flow'!BN11)/Loan!$G$7)</f>
        <v>3.47793751113081</v>
      </c>
      <c r="G16" s="63" t="n">
        <f aca="false">IF(Loan!$G$8=0,"n/a",('P&amp;L'!BO12-'P&amp;L'!BO16+'Cash Flow'!BO11)/Loan!$G$8)</f>
        <v>4.8205241117298</v>
      </c>
      <c r="H16" s="60" t="s">
        <v>423</v>
      </c>
    </row>
    <row r="17" customFormat="false" ht="15" hidden="false" customHeight="false" outlineLevel="0" collapsed="false">
      <c r="B17" s="9" t="s">
        <v>424</v>
      </c>
      <c r="C17" s="62" t="n">
        <f aca="false">'Cash Flow'!BK15</f>
        <v>55391.3666967491</v>
      </c>
      <c r="D17" s="62" t="n">
        <f aca="false">'Cash Flow'!BL15</f>
        <v>107929.423393498</v>
      </c>
      <c r="E17" s="62" t="n">
        <f aca="false">'Cash Flow'!BM15</f>
        <v>135246.044862247</v>
      </c>
      <c r="F17" s="62" t="n">
        <f aca="false">'Cash Flow'!BN15</f>
        <v>187871.449175138</v>
      </c>
      <c r="G17" s="62" t="n">
        <f aca="false">'Cash Flow'!BO15</f>
        <v>269010.148260078</v>
      </c>
      <c r="H17" s="60" t="s">
        <v>425</v>
      </c>
    </row>
    <row r="18" customFormat="false" ht="15" hidden="false" customHeight="false" outlineLevel="0" collapsed="false">
      <c r="B18" s="3" t="s">
        <v>426</v>
      </c>
      <c r="C18" s="59" t="n">
        <f aca="false">MIN('Cash Flow'!C15:N15)</f>
        <v>25060.0041741873</v>
      </c>
      <c r="D18" s="59" t="n">
        <f aca="false">MIN('Cash Flow'!O15:Z15)</f>
        <v>57042.6745881449</v>
      </c>
      <c r="E18" s="59" t="n">
        <f aca="false">MIN('Cash Flow'!AA15:AL15)</f>
        <v>106504.14600209</v>
      </c>
      <c r="F18" s="59" t="n">
        <f aca="false">MIN('Cash Flow'!AM15:AX15)</f>
        <v>136354.032716504</v>
      </c>
      <c r="G18" s="59" t="n">
        <f aca="false">MIN('Cash Flow'!AY15:BJ15)</f>
        <v>191038.076009048</v>
      </c>
      <c r="H18" s="60" t="s">
        <v>427</v>
      </c>
    </row>
    <row r="19" customFormat="false" ht="15" hidden="false" customHeight="false" outlineLevel="0" collapsed="false">
      <c r="B19" s="9" t="s">
        <v>428</v>
      </c>
      <c r="C19" s="64" t="n">
        <f aca="false">COUNTIF('Cash Flow'!C16:N16,"?*")</f>
        <v>0</v>
      </c>
      <c r="D19" s="64" t="n">
        <f aca="false">COUNTIF('Cash Flow'!O16:Z16,"?*")</f>
        <v>0</v>
      </c>
      <c r="E19" s="64" t="n">
        <f aca="false">COUNTIF('Cash Flow'!AA16:AL16,"?*")</f>
        <v>0</v>
      </c>
      <c r="F19" s="64" t="n">
        <f aca="false">COUNTIF('Cash Flow'!AM16:AX16,"?*")</f>
        <v>0</v>
      </c>
      <c r="G19" s="64" t="n">
        <f aca="false">COUNTIF('Cash Flow'!AY16:BJ16,"?*")</f>
        <v>0</v>
      </c>
      <c r="H19" s="60" t="s">
        <v>429</v>
      </c>
    </row>
    <row r="20" customFormat="false" ht="15" hidden="false" customHeight="false" outlineLevel="0" collapsed="false">
      <c r="B20" s="9" t="s">
        <v>430</v>
      </c>
      <c r="C20" s="62" t="n">
        <f aca="false">'Balance Sheet'!BK14</f>
        <v>148462.795268178</v>
      </c>
      <c r="D20" s="62" t="n">
        <f aca="false">'Balance Sheet'!BL14</f>
        <v>185072.280536355</v>
      </c>
      <c r="E20" s="62" t="n">
        <f aca="false">'Balance Sheet'!BM14</f>
        <v>196460.330576533</v>
      </c>
      <c r="F20" s="62" t="n">
        <f aca="false">'Balance Sheet'!BN14</f>
        <v>235157.163460853</v>
      </c>
      <c r="G20" s="62" t="n">
        <f aca="false">'Balance Sheet'!BO14</f>
        <v>302367.291117221</v>
      </c>
      <c r="H20" s="60" t="s">
        <v>431</v>
      </c>
    </row>
    <row r="22" customFormat="false" ht="15" hidden="false" customHeight="false" outlineLevel="0" collapsed="false">
      <c r="B22" s="5" t="s">
        <v>65</v>
      </c>
      <c r="C22" s="5" t="s">
        <v>432</v>
      </c>
      <c r="D22" s="6"/>
      <c r="E22" s="6"/>
      <c r="F22" s="6"/>
      <c r="G22" s="6"/>
      <c r="H22" s="6"/>
    </row>
    <row r="23" customFormat="false" ht="15" hidden="false" customHeight="false" outlineLevel="0" collapsed="false">
      <c r="B23" s="9" t="s">
        <v>433</v>
      </c>
      <c r="C23" s="3" t="str">
        <f aca="false">IF('Startup &amp; Funding'!$C$26&gt;=0,"OK","SHORTFALL")</f>
        <v>OK</v>
      </c>
      <c r="H23" s="60" t="s">
        <v>434</v>
      </c>
    </row>
    <row r="24" customFormat="false" ht="15" hidden="false" customHeight="false" outlineLevel="0" collapsed="false">
      <c r="B24" s="9" t="s">
        <v>435</v>
      </c>
      <c r="C24" s="3" t="str">
        <f aca="false">IF(ABS(INDEX(Loan!$G$14:$G$373,MAX(1,Loan!$D$6)))&lt;1,"OK","CHECK")</f>
        <v>OK</v>
      </c>
      <c r="H24" s="60" t="s">
        <v>436</v>
      </c>
    </row>
    <row r="25" customFormat="false" ht="15" hidden="false" customHeight="false" outlineLevel="0" collapsed="false">
      <c r="B25" s="9" t="s">
        <v>437</v>
      </c>
      <c r="C25" s="3" t="str">
        <f aca="false">IF(ABS(SUM('P&amp;L'!BK7:BO7)-SUM(Revenue!BK32:BO32))&lt;1,"OK","CHECK")</f>
        <v>OK</v>
      </c>
      <c r="H25" s="60" t="s">
        <v>438</v>
      </c>
    </row>
    <row r="26" customFormat="false" ht="15" hidden="false" customHeight="false" outlineLevel="0" collapsed="false">
      <c r="B26" s="9" t="s">
        <v>439</v>
      </c>
      <c r="C26" s="3" t="str">
        <f aca="false">IF(ABS(SUM('P&amp;L'!BK8:BO8)-SUM('Direct Costs'!BK12:BO12))&lt;1,"OK","CHECK")</f>
        <v>OK</v>
      </c>
      <c r="H26" s="60" t="s">
        <v>438</v>
      </c>
    </row>
    <row r="27" customFormat="false" ht="15" hidden="false" customHeight="false" outlineLevel="0" collapsed="false">
      <c r="B27" s="9" t="s">
        <v>440</v>
      </c>
      <c r="C27" s="3" t="str">
        <f aca="false">IF(ABS(SUM('P&amp;L'!BK10:BO10)-SUM(Payroll!BK21:BO21))&lt;1,"OK","CHECK")</f>
        <v>OK</v>
      </c>
      <c r="H27" s="60" t="s">
        <v>438</v>
      </c>
    </row>
    <row r="28" customFormat="false" ht="23.85" hidden="false" customHeight="false" outlineLevel="0" collapsed="false">
      <c r="B28" s="9" t="s">
        <v>441</v>
      </c>
      <c r="C28" s="3" t="str">
        <f aca="false">IF(ABS((Assumptions!$C$74+Assumptions!$C$111-Assumptions!$C$108)+SUM('P&amp;L'!C17:N17)+SUM('P&amp;L'!C13:N13)-SUM(Loan!$F$14:$F$25)-Assumptions!$C$102*12-'Cash Flow'!N15)&lt;1,"OK","CHECK")</f>
        <v>OK</v>
      </c>
      <c r="H28" s="60" t="s">
        <v>442</v>
      </c>
    </row>
    <row r="29" customFormat="false" ht="15" hidden="false" customHeight="false" outlineLevel="0" collapsed="false">
      <c r="B29" s="9" t="s">
        <v>443</v>
      </c>
      <c r="C29" s="3" t="str">
        <f aca="false">IF(ABS((Assumptions!$C$74+Assumptions!$C$111-Assumptions!$C$108)+SUM('P&amp;L'!C17:BJ17)+SUM('P&amp;L'!C13:BJ13)-SUM(Loan!$F$14:$F$73)-Assumptions!$C$102*60-'Cash Flow'!BJ15)&lt;1,"OK","CHECK")</f>
        <v>OK</v>
      </c>
      <c r="H29" s="60" t="s">
        <v>444</v>
      </c>
    </row>
    <row r="30" customFormat="false" ht="15" hidden="false" customHeight="false" outlineLevel="0" collapsed="false">
      <c r="B30" s="9" t="s">
        <v>445</v>
      </c>
      <c r="C30" s="3" t="str">
        <f aca="false">IF(COUNTIF(Assumptions!$E$46:$E$55,"&gt;60")=0,"OK","CHECK")</f>
        <v>OK</v>
      </c>
      <c r="H30" s="60" t="s">
        <v>446</v>
      </c>
    </row>
    <row r="31" customFormat="false" ht="15" hidden="false" customHeight="false" outlineLevel="0" collapsed="false">
      <c r="B31" s="9" t="s">
        <v>447</v>
      </c>
      <c r="C31" s="3" t="str">
        <f aca="false">IF(MAX(MAX('Balance Sheet'!$C$29:$BJ$29),-MIN('Balance Sheet'!$C$29:$BJ$29))&lt;1,"OK","CHECK")</f>
        <v>OK</v>
      </c>
      <c r="H31" s="60" t="s">
        <v>448</v>
      </c>
    </row>
    <row r="32" customFormat="false" ht="15" hidden="false" customHeight="false" outlineLevel="0" collapsed="false">
      <c r="B32" s="2" t="s">
        <v>449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F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28"/>
    <col collapsed="false" customWidth="true" hidden="false" outlineLevel="0" max="3" min="3" style="0" width="56"/>
    <col collapsed="false" customWidth="true" hidden="false" outlineLevel="0" max="4" min="4" style="0" width="40"/>
    <col collapsed="false" customWidth="true" hidden="false" outlineLevel="0" max="5" min="5" style="0" width="36"/>
    <col collapsed="false" customWidth="true" hidden="false" outlineLevel="0" max="6" min="6" style="0" width="16"/>
  </cols>
  <sheetData>
    <row r="1" customFormat="false" ht="17.35" hidden="false" customHeight="false" outlineLevel="0" collapsed="false">
      <c r="B1" s="1" t="s">
        <v>450</v>
      </c>
    </row>
    <row r="2" customFormat="false" ht="15" hidden="false" customHeight="false" outlineLevel="0" collapsed="false">
      <c r="B2" s="2" t="s">
        <v>451</v>
      </c>
    </row>
    <row r="3" customFormat="false" ht="15" hidden="false" customHeight="false" outlineLevel="0" collapsed="false">
      <c r="B3" s="2" t="s">
        <v>452</v>
      </c>
    </row>
    <row r="5" customFormat="false" ht="15" hidden="false" customHeight="false" outlineLevel="0" collapsed="false">
      <c r="B5" s="5" t="s">
        <v>453</v>
      </c>
      <c r="C5" s="5" t="s">
        <v>454</v>
      </c>
      <c r="D5" s="5" t="s">
        <v>455</v>
      </c>
      <c r="E5" s="5" t="s">
        <v>456</v>
      </c>
      <c r="F5" s="5" t="s">
        <v>73</v>
      </c>
    </row>
    <row r="6" customFormat="false" ht="42" hidden="false" customHeight="true" outlineLevel="0" collapsed="false">
      <c r="B6" s="65" t="s">
        <v>457</v>
      </c>
      <c r="C6" s="66" t="s">
        <v>458</v>
      </c>
      <c r="D6" s="67" t="s">
        <v>47</v>
      </c>
      <c r="E6" s="66" t="s">
        <v>459</v>
      </c>
      <c r="F6" s="62" t="n">
        <f aca="false">'Key Ratios'!$C$5</f>
        <v>412230</v>
      </c>
    </row>
    <row r="7" customFormat="false" ht="42" hidden="false" customHeight="true" outlineLevel="0" collapsed="false">
      <c r="B7" s="65" t="s">
        <v>460</v>
      </c>
      <c r="C7" s="66" t="s">
        <v>461</v>
      </c>
      <c r="D7" s="67" t="s">
        <v>462</v>
      </c>
      <c r="E7" s="66" t="s">
        <v>463</v>
      </c>
      <c r="F7" s="64" t="n">
        <f aca="false">IF(Revenue!BK14&gt;0,1,0)+IF(Revenue!BK18&gt;0,1,0)+IF(Revenue!BK22&gt;0,1,0)+IF(Revenue!BK26&gt;0,1,0)+IF(Revenue!BK30&gt;0,1,0)</f>
        <v>3</v>
      </c>
    </row>
    <row r="8" customFormat="false" ht="42" hidden="false" customHeight="true" outlineLevel="0" collapsed="false">
      <c r="B8" s="65" t="s">
        <v>464</v>
      </c>
      <c r="C8" s="66" t="s">
        <v>465</v>
      </c>
      <c r="D8" s="67" t="s">
        <v>27</v>
      </c>
      <c r="E8" s="66" t="s">
        <v>466</v>
      </c>
      <c r="F8" s="62" t="n">
        <f aca="false">'P&amp;L'!BO7</f>
        <v>668075.135367263</v>
      </c>
    </row>
    <row r="9" customFormat="false" ht="42" hidden="false" customHeight="true" outlineLevel="0" collapsed="false">
      <c r="B9" s="65" t="s">
        <v>467</v>
      </c>
      <c r="C9" s="66" t="s">
        <v>468</v>
      </c>
      <c r="D9" s="67" t="s">
        <v>31</v>
      </c>
      <c r="E9" s="66" t="s">
        <v>469</v>
      </c>
      <c r="F9" s="62" t="n">
        <f aca="false">'P&amp;L'!$BK$10</f>
        <v>170005.5</v>
      </c>
    </row>
    <row r="10" customFormat="false" ht="42" hidden="false" customHeight="true" outlineLevel="0" collapsed="false">
      <c r="B10" s="65" t="s">
        <v>470</v>
      </c>
      <c r="C10" s="66" t="s">
        <v>471</v>
      </c>
      <c r="D10" s="67" t="s">
        <v>472</v>
      </c>
      <c r="E10" s="66" t="s">
        <v>473</v>
      </c>
      <c r="F10" s="61" t="n">
        <f aca="false">'P&amp;L'!$BK$20</f>
        <v>0.698076923076923</v>
      </c>
    </row>
    <row r="11" customFormat="false" ht="42" hidden="false" customHeight="true" outlineLevel="0" collapsed="false">
      <c r="B11" s="65" t="s">
        <v>474</v>
      </c>
      <c r="C11" s="66" t="s">
        <v>475</v>
      </c>
      <c r="D11" s="67" t="s">
        <v>476</v>
      </c>
      <c r="E11" s="66" t="s">
        <v>477</v>
      </c>
      <c r="F11" s="62" t="n">
        <f aca="false">OpEx!$BK$30</f>
        <v>13044.6</v>
      </c>
    </row>
    <row r="12" customFormat="false" ht="55.5" hidden="false" customHeight="true" outlineLevel="0" collapsed="false">
      <c r="B12" s="65" t="s">
        <v>478</v>
      </c>
      <c r="C12" s="66" t="s">
        <v>479</v>
      </c>
      <c r="D12" s="67" t="s">
        <v>480</v>
      </c>
      <c r="E12" s="66" t="s">
        <v>481</v>
      </c>
      <c r="F12" s="62" t="n">
        <f aca="false">'Startup &amp; Funding'!$C$18</f>
        <v>170000</v>
      </c>
    </row>
    <row r="13" customFormat="false" ht="55.5" hidden="false" customHeight="true" outlineLevel="0" collapsed="false">
      <c r="B13" s="65" t="s">
        <v>482</v>
      </c>
      <c r="C13" s="66" t="s">
        <v>483</v>
      </c>
      <c r="D13" s="67" t="s">
        <v>484</v>
      </c>
      <c r="E13" s="66" t="s">
        <v>485</v>
      </c>
      <c r="F13" s="62" t="n">
        <f aca="false">'P&amp;L'!BO17</f>
        <v>84125.2594575647</v>
      </c>
    </row>
    <row r="15" customFormat="false" ht="15" hidden="false" customHeight="false" outlineLevel="0" collapsed="false">
      <c r="B15" s="2" t="s">
        <v>486</v>
      </c>
    </row>
    <row r="17" customFormat="false" ht="15" hidden="false" customHeight="false" outlineLevel="0" collapsed="false">
      <c r="B17" s="5" t="s">
        <v>487</v>
      </c>
      <c r="C17" s="6"/>
      <c r="D17" s="6"/>
      <c r="E17" s="6"/>
      <c r="F17" s="6"/>
    </row>
    <row r="18" customFormat="false" ht="30" hidden="false" customHeight="true" outlineLevel="0" collapsed="false">
      <c r="B18" s="7" t="s">
        <v>488</v>
      </c>
      <c r="C18" s="7"/>
      <c r="D18" s="7"/>
      <c r="E18" s="7"/>
      <c r="F18" s="7"/>
    </row>
    <row r="19" customFormat="false" ht="30" hidden="false" customHeight="true" outlineLevel="0" collapsed="false">
      <c r="B19" s="7" t="s">
        <v>489</v>
      </c>
      <c r="C19" s="7"/>
      <c r="D19" s="7"/>
      <c r="E19" s="7"/>
      <c r="F19" s="7"/>
    </row>
    <row r="20" customFormat="false" ht="30" hidden="false" customHeight="true" outlineLevel="0" collapsed="false">
      <c r="B20" s="7" t="s">
        <v>490</v>
      </c>
      <c r="C20" s="7"/>
      <c r="D20" s="7"/>
      <c r="E20" s="7"/>
      <c r="F20" s="7"/>
    </row>
  </sheetData>
  <mergeCells count="3">
    <mergeCell ref="B18:F18"/>
    <mergeCell ref="B19:F19"/>
    <mergeCell ref="B20:F20"/>
  </mergeCells>
  <hyperlinks>
    <hyperlink ref="D6" location="'Key Ratios'!B4" display="Key Ratios"/>
    <hyperlink ref="D7" location="'Assumptions'!B5" display="Assumptions sections 1-2"/>
    <hyperlink ref="D8" location="'Revenue'!A1" display="Revenue"/>
    <hyperlink ref="D9" location="'Payroll'!A1" display="Payroll"/>
    <hyperlink ref="D10" location="'Direct Costs'!A1" display="Revenue and Direct Costs"/>
    <hyperlink ref="D11" location="'OpEx'!A1" display="OpEx (marketing lines)"/>
    <hyperlink ref="D12" location="'Startup &amp; Funding'!B1" display="Startup &amp; Funding and Loan"/>
    <hyperlink ref="D13" location="'P&amp;L'!A1" display="P&amp;L, Cash Flow, Balance Sheet, Break-Even, Key Ratios"/>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D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34"/>
    <col collapsed="false" customWidth="true" hidden="false" outlineLevel="0" max="3" min="3" style="0" width="70"/>
    <col collapsed="false" customWidth="true" hidden="false" outlineLevel="0" max="4" min="4" style="0" width="60"/>
  </cols>
  <sheetData>
    <row r="1" customFormat="false" ht="17.35" hidden="false" customHeight="false" outlineLevel="0" collapsed="false">
      <c r="B1" s="1" t="s">
        <v>491</v>
      </c>
    </row>
    <row r="2" customFormat="false" ht="15" hidden="false" customHeight="false" outlineLevel="0" collapsed="false">
      <c r="B2" s="2" t="s">
        <v>492</v>
      </c>
    </row>
    <row r="4" customFormat="false" ht="15" hidden="false" customHeight="false" outlineLevel="0" collapsed="false">
      <c r="B4" s="5" t="s">
        <v>493</v>
      </c>
      <c r="C4" s="5" t="s">
        <v>494</v>
      </c>
      <c r="D4" s="5" t="s">
        <v>495</v>
      </c>
    </row>
    <row r="5" customFormat="false" ht="42" hidden="false" customHeight="true" outlineLevel="0" collapsed="false">
      <c r="B5" s="65" t="s">
        <v>496</v>
      </c>
      <c r="C5" s="66" t="s">
        <v>497</v>
      </c>
      <c r="D5" s="66" t="s">
        <v>498</v>
      </c>
    </row>
    <row r="6" customFormat="false" ht="42" hidden="false" customHeight="true" outlineLevel="0" collapsed="false">
      <c r="B6" s="65" t="s">
        <v>499</v>
      </c>
      <c r="C6" s="66" t="s">
        <v>500</v>
      </c>
      <c r="D6" s="66" t="s">
        <v>501</v>
      </c>
    </row>
    <row r="7" customFormat="false" ht="42" hidden="false" customHeight="true" outlineLevel="0" collapsed="false">
      <c r="B7" s="65" t="s">
        <v>502</v>
      </c>
      <c r="C7" s="66" t="s">
        <v>503</v>
      </c>
      <c r="D7" s="66" t="s">
        <v>504</v>
      </c>
    </row>
    <row r="8" customFormat="false" ht="42" hidden="false" customHeight="true" outlineLevel="0" collapsed="false">
      <c r="B8" s="65" t="s">
        <v>505</v>
      </c>
      <c r="C8" s="66" t="s">
        <v>506</v>
      </c>
      <c r="D8" s="66" t="s">
        <v>507</v>
      </c>
    </row>
    <row r="9" customFormat="false" ht="42" hidden="false" customHeight="true" outlineLevel="0" collapsed="false">
      <c r="B9" s="65" t="s">
        <v>508</v>
      </c>
      <c r="C9" s="66" t="s">
        <v>509</v>
      </c>
      <c r="D9" s="66" t="s">
        <v>510</v>
      </c>
    </row>
    <row r="11" customFormat="false" ht="15" hidden="false" customHeight="false" outlineLevel="0" collapsed="false">
      <c r="B11" s="5" t="s">
        <v>511</v>
      </c>
      <c r="C11" s="6"/>
      <c r="D11" s="6"/>
    </row>
    <row r="12" customFormat="false" ht="30" hidden="false" customHeight="true" outlineLevel="0" collapsed="false">
      <c r="B12" s="68" t="s">
        <v>512</v>
      </c>
      <c r="C12" s="68"/>
      <c r="D12" s="68"/>
    </row>
    <row r="13" customFormat="false" ht="30" hidden="false" customHeight="true" outlineLevel="0" collapsed="false">
      <c r="B13" s="7" t="s">
        <v>513</v>
      </c>
      <c r="C13" s="7"/>
      <c r="D13" s="7"/>
    </row>
    <row r="14" customFormat="false" ht="30" hidden="false" customHeight="true" outlineLevel="0" collapsed="false">
      <c r="B14" s="7" t="s">
        <v>514</v>
      </c>
      <c r="C14" s="7"/>
      <c r="D14" s="7"/>
    </row>
    <row r="15" customFormat="false" ht="30" hidden="false" customHeight="true" outlineLevel="0" collapsed="false">
      <c r="B15" s="7" t="s">
        <v>515</v>
      </c>
      <c r="C15" s="7"/>
      <c r="D15" s="7"/>
    </row>
    <row r="16" customFormat="false" ht="30" hidden="false" customHeight="true" outlineLevel="0" collapsed="false">
      <c r="B16" s="7" t="s">
        <v>516</v>
      </c>
      <c r="C16" s="7"/>
      <c r="D16" s="7"/>
    </row>
    <row r="17" customFormat="false" ht="30" hidden="false" customHeight="true" outlineLevel="0" collapsed="false">
      <c r="B17" s="7" t="s">
        <v>517</v>
      </c>
      <c r="C17" s="7"/>
      <c r="D17" s="7"/>
    </row>
    <row r="18" customFormat="false" ht="30" hidden="false" customHeight="true" outlineLevel="0" collapsed="false">
      <c r="B18" s="7" t="s">
        <v>518</v>
      </c>
      <c r="C18" s="7"/>
      <c r="D18" s="7"/>
    </row>
    <row r="19" customFormat="false" ht="30" hidden="false" customHeight="true" outlineLevel="0" collapsed="false">
      <c r="B19" s="7" t="s">
        <v>519</v>
      </c>
      <c r="C19" s="7"/>
      <c r="D19" s="7"/>
    </row>
    <row r="20" customFormat="false" ht="30" hidden="false" customHeight="true" outlineLevel="0" collapsed="false">
      <c r="B20" s="7" t="s">
        <v>520</v>
      </c>
      <c r="C20" s="7"/>
      <c r="D20" s="7"/>
    </row>
  </sheetData>
  <mergeCells count="9">
    <mergeCell ref="B12:D12"/>
    <mergeCell ref="B13:D13"/>
    <mergeCell ref="B14:D14"/>
    <mergeCell ref="B15:D15"/>
    <mergeCell ref="B16:D16"/>
    <mergeCell ref="B17:D17"/>
    <mergeCell ref="B18:D18"/>
    <mergeCell ref="B19:D19"/>
    <mergeCell ref="B20:D20"/>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2026-10-10T23:53:48Z</dcterms:created>
  <dc:creator>Let's Talk Business Plans</dc:creator>
  <dc:description/>
  <dc:language>en-US</dc:language>
  <cp:lastModifiedBy/>
  <dcterms:modified xsi:type="dcterms:W3CDTF">2026-10-10T23:53:48Z</dcterms:modified>
  <cp:revision>0</cp:revision>
  <dc:subject/>
  <dc:title>Small Business Financial Plan</dc:title>
</cp:coreProperties>
</file>

<file path=docProps/custom.xml><?xml version="1.0" encoding="utf-8"?>
<Properties xmlns="http://schemas.openxmlformats.org/officeDocument/2006/custom-properties" xmlns:vt="http://schemas.openxmlformats.org/officeDocument/2006/docPropsVTypes"/>
</file>